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craigwilliams/Library/Mobile Documents/com~apple~CloudDocs/WORK/Consultancies/2024 SEARO II/Global/Beta 1.2/"/>
    </mc:Choice>
  </mc:AlternateContent>
  <xr:revisionPtr revIDLastSave="0" documentId="13_ncr:1_{9FCD1768-AD71-6D46-9414-D428A648A614}" xr6:coauthVersionLast="47" xr6:coauthVersionMax="47" xr10:uidLastSave="{00000000-0000-0000-0000-000000000000}"/>
  <bookViews>
    <workbookView xWindow="22340" yWindow="8260" windowWidth="24800" windowHeight="16820" tabRatio="1000" activeTab="1" xr2:uid="{00000000-000D-0000-FFFF-FFFF00000000}"/>
  </bookViews>
  <sheets>
    <sheet name="About" sheetId="1" r:id="rId1"/>
    <sheet name="SEARO" sheetId="36" r:id="rId2"/>
    <sheet name="111 Policy &amp; Practice" sheetId="14" r:id="rId3"/>
    <sheet name="112 Institutions &amp; Services" sheetId="34" r:id="rId4"/>
    <sheet name="121 Violence Against Women" sheetId="30" r:id="rId5"/>
    <sheet name="122 Gender Inequality" sheetId="35" r:id="rId6"/>
    <sheet name="211 Scope &amp; Intensity" sheetId="22" r:id="rId7"/>
    <sheet name="212 Crisis Severity" sheetId="41" r:id="rId8"/>
    <sheet name="221 Operation Size" sheetId="18" r:id="rId9"/>
    <sheet name="222 Operational Complexity" sheetId="28" r:id="rId10"/>
    <sheet name="311 Leadership &amp; Staffing" sheetId="43" r:id="rId11"/>
    <sheet name="312 Organizational Culture" sheetId="24" r:id="rId12"/>
    <sheet name="321 Operational Design" sheetId="44" r:id="rId13"/>
    <sheet name="322 Operational Reach" sheetId="42" r:id="rId14"/>
    <sheet name="411 PSEA Coordinators" sheetId="23" r:id="rId15"/>
    <sheet name="412 Funding &amp; Resources" sheetId="45" r:id="rId16"/>
    <sheet name="421 Survivor Assistance" sheetId="31" r:id="rId17"/>
    <sheet name="422 Reporting &amp; Accountability" sheetId="32" r:id="rId18"/>
    <sheet name="World Bank" sheetId="50" r:id="rId19"/>
    <sheet name="INFORM-S Crises" sheetId="39" r:id="rId20"/>
    <sheet name="INFORM-S Countries" sheetId="40" r:id="rId21"/>
    <sheet name="Humanitarian Insight" sheetId="48" r:id="rId22"/>
    <sheet name="Sources" sheetId="47" r:id="rId23"/>
    <sheet name="Version Log" sheetId="49" r:id="rId24"/>
  </sheets>
  <definedNames>
    <definedName name="_xlnm._FilterDatabase" localSheetId="10" hidden="1">'311 Leadership &amp; Staffing'!$A$5:$C$123</definedName>
    <definedName name="_xlnm._FilterDatabase" localSheetId="11" hidden="1">'312 Organizational Culture'!$A$5:$C$123</definedName>
    <definedName name="_xlnm._FilterDatabase" localSheetId="16" hidden="1">'421 Survivor Assistance'!$A$4:$G$38</definedName>
    <definedName name="_xlnm._FilterDatabase" localSheetId="17" hidden="1">'422 Reporting &amp; Accountability'!$A$4:$G$38</definedName>
    <definedName name="_xlnm._FilterDatabase" localSheetId="1" hidden="1">SEARO!$B$3:$AG$37</definedName>
    <definedName name="_xlnm._FilterDatabase" localSheetId="18" hidden="1">'World Bank'!$A$1:$N$220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32" roundtripDataSignature="AMtx7mhCJ3WqvIWtE+ibeFJC6lJSJMKs/Q=="/>
    </ext>
  </extLst>
</workbook>
</file>

<file path=xl/calcChain.xml><?xml version="1.0" encoding="utf-8"?>
<calcChain xmlns="http://schemas.openxmlformats.org/spreadsheetml/2006/main">
  <c r="C37" i="14" l="1"/>
  <c r="C35" i="14"/>
  <c r="C22" i="14"/>
  <c r="C36" i="42"/>
  <c r="I36" i="42"/>
  <c r="J36" i="42"/>
  <c r="K36" i="42"/>
  <c r="L36" i="42" s="1"/>
  <c r="K24" i="42"/>
  <c r="L24" i="42" s="1"/>
  <c r="M24" i="42"/>
  <c r="F24" i="42"/>
  <c r="G24" i="42" s="1"/>
  <c r="H24" i="42"/>
  <c r="C24" i="42" l="1"/>
  <c r="G5" i="32" l="1"/>
  <c r="C5" i="32" s="1"/>
  <c r="G6" i="32"/>
  <c r="C6" i="32" s="1"/>
  <c r="G7" i="32"/>
  <c r="G8" i="32"/>
  <c r="G9" i="32"/>
  <c r="C9" i="32" s="1"/>
  <c r="G10" i="32"/>
  <c r="C10" i="32" s="1"/>
  <c r="G11" i="32"/>
  <c r="C11" i="32" s="1"/>
  <c r="G12" i="32"/>
  <c r="C12" i="32" s="1"/>
  <c r="G13" i="32"/>
  <c r="C13" i="32" s="1"/>
  <c r="G14" i="32"/>
  <c r="C14" i="32" s="1"/>
  <c r="G15" i="32"/>
  <c r="G16" i="32"/>
  <c r="C16" i="32" s="1"/>
  <c r="G17" i="32"/>
  <c r="C17" i="32" s="1"/>
  <c r="G18" i="32"/>
  <c r="C18" i="32" s="1"/>
  <c r="G19" i="32"/>
  <c r="C19" i="32" s="1"/>
  <c r="G20" i="32"/>
  <c r="C20" i="32" s="1"/>
  <c r="G21" i="32"/>
  <c r="C21" i="32" s="1"/>
  <c r="G22" i="32"/>
  <c r="C22" i="32" s="1"/>
  <c r="G23" i="32"/>
  <c r="G24" i="32"/>
  <c r="C24" i="32" s="1"/>
  <c r="G25" i="32"/>
  <c r="C25" i="32" s="1"/>
  <c r="G26" i="32"/>
  <c r="C26" i="32" s="1"/>
  <c r="G27" i="32"/>
  <c r="C27" i="32" s="1"/>
  <c r="G28" i="32"/>
  <c r="C28" i="32" s="1"/>
  <c r="G29" i="32"/>
  <c r="C29" i="32" s="1"/>
  <c r="G30" i="32"/>
  <c r="C30" i="32" s="1"/>
  <c r="G31" i="32"/>
  <c r="G32" i="32"/>
  <c r="C32" i="32" s="1"/>
  <c r="G33" i="32"/>
  <c r="C33" i="32" s="1"/>
  <c r="G34" i="32"/>
  <c r="C34" i="32" s="1"/>
  <c r="G35" i="32"/>
  <c r="C35" i="32" s="1"/>
  <c r="G36" i="32"/>
  <c r="C36" i="32" s="1"/>
  <c r="G37" i="32"/>
  <c r="G38" i="32"/>
  <c r="C38" i="32" s="1"/>
  <c r="C7" i="32"/>
  <c r="C8" i="32"/>
  <c r="C15" i="32"/>
  <c r="C23" i="32"/>
  <c r="C31" i="32"/>
  <c r="C37" i="32"/>
  <c r="K30" i="30" l="1"/>
  <c r="J30" i="30"/>
  <c r="K29" i="30"/>
  <c r="J29" i="30"/>
  <c r="K27" i="30"/>
  <c r="J27" i="30"/>
  <c r="K26" i="30"/>
  <c r="J26" i="30"/>
  <c r="K25" i="30"/>
  <c r="J25" i="30"/>
  <c r="K24" i="30"/>
  <c r="J24" i="30"/>
  <c r="K18" i="30"/>
  <c r="J18" i="30"/>
  <c r="K17" i="30"/>
  <c r="J17" i="30"/>
  <c r="K16" i="30"/>
  <c r="J16" i="30"/>
  <c r="K15" i="30"/>
  <c r="J15" i="30"/>
  <c r="K13" i="30"/>
  <c r="J13" i="30"/>
  <c r="K12" i="30"/>
  <c r="J12" i="30"/>
  <c r="K11" i="30"/>
  <c r="J11" i="30"/>
  <c r="K9" i="30"/>
  <c r="J9" i="30"/>
  <c r="K8" i="30"/>
  <c r="J8" i="30"/>
  <c r="K7" i="30"/>
  <c r="J7" i="30"/>
  <c r="H30" i="30"/>
  <c r="G30" i="30"/>
  <c r="H29" i="30"/>
  <c r="G29" i="30"/>
  <c r="H27" i="30"/>
  <c r="G27" i="30"/>
  <c r="H26" i="30"/>
  <c r="G26" i="30"/>
  <c r="H25" i="30"/>
  <c r="G25" i="30"/>
  <c r="H24" i="30"/>
  <c r="G24" i="30"/>
  <c r="H20" i="30"/>
  <c r="G20" i="30"/>
  <c r="H18" i="30"/>
  <c r="G18" i="30"/>
  <c r="H17" i="30"/>
  <c r="G17" i="30"/>
  <c r="H16" i="30"/>
  <c r="G16" i="30"/>
  <c r="H15" i="30"/>
  <c r="G15" i="30"/>
  <c r="H13" i="30"/>
  <c r="G13" i="30"/>
  <c r="H12" i="30"/>
  <c r="G12" i="30"/>
  <c r="H11" i="30"/>
  <c r="G11" i="30"/>
  <c r="H9" i="30"/>
  <c r="G9" i="30"/>
  <c r="H8" i="30"/>
  <c r="G8" i="30"/>
  <c r="H7" i="30"/>
  <c r="G7" i="30"/>
  <c r="G5" i="30"/>
  <c r="J5" i="30"/>
  <c r="K5" i="30"/>
  <c r="H5" i="30"/>
  <c r="E7" i="30"/>
  <c r="E9" i="30"/>
  <c r="E10" i="30"/>
  <c r="E16" i="30"/>
  <c r="E17" i="30"/>
  <c r="E18" i="30"/>
  <c r="E20" i="30"/>
  <c r="E21" i="30"/>
  <c r="E23" i="30"/>
  <c r="E24" i="30"/>
  <c r="E26" i="30"/>
  <c r="E28" i="30"/>
  <c r="E29" i="30"/>
  <c r="E30" i="30"/>
  <c r="E34" i="30"/>
  <c r="E35" i="30"/>
  <c r="E36" i="30"/>
  <c r="E31" i="30"/>
  <c r="E38" i="30"/>
  <c r="E5" i="30"/>
  <c r="E6" i="30"/>
  <c r="E8" i="30"/>
  <c r="E11" i="30"/>
  <c r="E12" i="30"/>
  <c r="E13" i="30"/>
  <c r="E14" i="30"/>
  <c r="E15" i="30"/>
  <c r="E19" i="30"/>
  <c r="E25" i="30"/>
  <c r="E27" i="30"/>
  <c r="E32" i="30"/>
  <c r="E33" i="30"/>
  <c r="E37"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5" i="30"/>
  <c r="D6" i="45" l="1"/>
  <c r="D7"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5" i="45"/>
  <c r="E6" i="18"/>
  <c r="E7" i="18"/>
  <c r="E8" i="18"/>
  <c r="E9" i="18"/>
  <c r="E10" i="18"/>
  <c r="E11" i="18"/>
  <c r="E12" i="18"/>
  <c r="E13" i="18"/>
  <c r="E14" i="18"/>
  <c r="E15" i="18"/>
  <c r="E16" i="18"/>
  <c r="E17" i="18"/>
  <c r="E18" i="18"/>
  <c r="E19" i="18"/>
  <c r="E20" i="18"/>
  <c r="E21" i="18"/>
  <c r="E22" i="18"/>
  <c r="E23" i="18"/>
  <c r="E24" i="18"/>
  <c r="E25" i="18"/>
  <c r="E26" i="18"/>
  <c r="E27" i="18"/>
  <c r="E28" i="18"/>
  <c r="E29" i="18"/>
  <c r="E31" i="18"/>
  <c r="E32" i="18"/>
  <c r="E33" i="18"/>
  <c r="E34" i="18"/>
  <c r="E35" i="18"/>
  <c r="E36" i="18"/>
  <c r="E37" i="18"/>
  <c r="E38" i="18"/>
  <c r="E5" i="18"/>
  <c r="D8" i="18"/>
  <c r="D9" i="18"/>
  <c r="D10" i="18"/>
  <c r="D11" i="18"/>
  <c r="D12" i="18"/>
  <c r="D13" i="18"/>
  <c r="D14" i="18"/>
  <c r="D15" i="18"/>
  <c r="D16" i="18"/>
  <c r="D17" i="18"/>
  <c r="D18" i="18"/>
  <c r="D19" i="18"/>
  <c r="D20" i="18"/>
  <c r="D21" i="18"/>
  <c r="D22" i="18"/>
  <c r="D23" i="18"/>
  <c r="D24" i="18"/>
  <c r="D25" i="18"/>
  <c r="D26" i="18"/>
  <c r="D27" i="18"/>
  <c r="D28" i="18"/>
  <c r="D29" i="18"/>
  <c r="D31" i="18"/>
  <c r="D32" i="18"/>
  <c r="D33" i="18"/>
  <c r="D34" i="18"/>
  <c r="D35" i="18"/>
  <c r="D36" i="18"/>
  <c r="D37" i="18"/>
  <c r="D38" i="18"/>
  <c r="D6" i="18"/>
  <c r="D7" i="18"/>
  <c r="D5" i="18"/>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30" i="22" a="1"/>
  <c r="D30" i="22" s="1"/>
  <c r="D31" i="22" a="1"/>
  <c r="D31" i="22" s="1"/>
  <c r="D32" i="22" a="1"/>
  <c r="D32" i="22" s="1"/>
  <c r="D33" i="22" a="1"/>
  <c r="D33" i="22" s="1"/>
  <c r="D34" i="22" a="1"/>
  <c r="D34" i="22" s="1"/>
  <c r="D35" i="22" a="1"/>
  <c r="D35" i="22" s="1"/>
  <c r="D36" i="22" a="1"/>
  <c r="D36" i="22" s="1"/>
  <c r="D37" i="22" a="1"/>
  <c r="D37" i="22" s="1"/>
  <c r="D38" i="22" a="1"/>
  <c r="D38" i="22" s="1"/>
  <c r="D6" i="22" a="1"/>
  <c r="D6" i="22" s="1"/>
  <c r="D7" i="22" a="1"/>
  <c r="D7" i="22" s="1"/>
  <c r="D8" i="22" a="1"/>
  <c r="D8" i="22" s="1"/>
  <c r="D5" i="22" a="1"/>
  <c r="D5" i="22" s="1"/>
  <c r="J161" i="34" l="1"/>
  <c r="J162" i="34"/>
  <c r="J163" i="34"/>
  <c r="F163" i="34" s="1"/>
  <c r="J164" i="34"/>
  <c r="F164" i="34" s="1"/>
  <c r="J165" i="34"/>
  <c r="F165" i="34" s="1"/>
  <c r="J166" i="34"/>
  <c r="F166" i="34" s="1"/>
  <c r="J167" i="34"/>
  <c r="F167" i="34" s="1"/>
  <c r="F161" i="34"/>
  <c r="F162" i="34"/>
  <c r="S38" i="14" l="1"/>
  <c r="R38" i="14"/>
  <c r="S30" i="14"/>
  <c r="R30" i="14"/>
  <c r="S29" i="14"/>
  <c r="R29" i="14"/>
  <c r="S28" i="14"/>
  <c r="R28" i="14"/>
  <c r="S27" i="14"/>
  <c r="R27" i="14"/>
  <c r="S26" i="14"/>
  <c r="R26" i="14"/>
  <c r="S25" i="14"/>
  <c r="R25" i="14"/>
  <c r="S24" i="14"/>
  <c r="R24" i="14"/>
  <c r="S23" i="14"/>
  <c r="R23" i="14"/>
  <c r="S20" i="14"/>
  <c r="R20" i="14"/>
  <c r="S18" i="14"/>
  <c r="R18" i="14"/>
  <c r="S17" i="14"/>
  <c r="R17" i="14"/>
  <c r="S16" i="14"/>
  <c r="R16" i="14"/>
  <c r="S13" i="14"/>
  <c r="R13" i="14"/>
  <c r="S12" i="14"/>
  <c r="R12" i="14"/>
  <c r="S11" i="14"/>
  <c r="R11" i="14"/>
  <c r="S9" i="14"/>
  <c r="R9" i="14"/>
  <c r="S8" i="14"/>
  <c r="R8" i="14"/>
  <c r="S7" i="14"/>
  <c r="R7" i="14"/>
  <c r="S6" i="14"/>
  <c r="R6" i="14"/>
  <c r="R5" i="14"/>
  <c r="S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K5" i="14"/>
  <c r="H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5" i="14"/>
  <c r="M5" i="28" l="1"/>
  <c r="M6" i="28"/>
  <c r="M7" i="28"/>
  <c r="M8" i="28"/>
  <c r="M9" i="28"/>
  <c r="M10" i="28"/>
  <c r="M11" i="28"/>
  <c r="M12" i="28"/>
  <c r="M13" i="28"/>
  <c r="M14" i="28"/>
  <c r="M15" i="28"/>
  <c r="M16" i="28"/>
  <c r="M17"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M98" i="28"/>
  <c r="M99" i="28"/>
  <c r="M100" i="28"/>
  <c r="M101" i="28"/>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M133" i="28"/>
  <c r="M134" i="28"/>
  <c r="M135" i="28"/>
  <c r="M136" i="28"/>
  <c r="M137" i="28"/>
  <c r="M138" i="28"/>
  <c r="M139" i="28"/>
  <c r="M140" i="28"/>
  <c r="M141" i="28"/>
  <c r="M142" i="28"/>
  <c r="M143" i="28"/>
  <c r="M144" i="28"/>
  <c r="M145" i="28"/>
  <c r="M146" i="28"/>
  <c r="M147" i="28"/>
  <c r="M148" i="28"/>
  <c r="M149" i="28"/>
  <c r="M150" i="28"/>
  <c r="M151" i="28"/>
  <c r="M152" i="28"/>
  <c r="M153" i="28"/>
  <c r="M154" i="28"/>
  <c r="M155" i="28"/>
  <c r="M156" i="28"/>
  <c r="M157" i="28"/>
  <c r="M158" i="28"/>
  <c r="M159" i="28"/>
  <c r="M160" i="28"/>
  <c r="M161" i="28"/>
  <c r="M162" i="28"/>
  <c r="M163" i="28"/>
  <c r="M164" i="28"/>
  <c r="M165" i="28"/>
  <c r="M166" i="28"/>
  <c r="M167" i="28"/>
  <c r="E30" i="45" l="1"/>
  <c r="F30" i="45"/>
  <c r="G30" i="45"/>
  <c r="J30" i="45" s="1"/>
  <c r="H30" i="45"/>
  <c r="K30" i="45" s="1"/>
  <c r="I30" i="45"/>
  <c r="E20" i="45"/>
  <c r="F20" i="45"/>
  <c r="G20" i="45"/>
  <c r="H20" i="45"/>
  <c r="I20" i="45"/>
  <c r="D30" i="42"/>
  <c r="E30" i="42"/>
  <c r="K30" i="42"/>
  <c r="D20" i="42"/>
  <c r="E20" i="42"/>
  <c r="F20" i="42" s="1"/>
  <c r="I20" i="42"/>
  <c r="J20" i="42"/>
  <c r="K20" i="42" s="1"/>
  <c r="D30" i="44"/>
  <c r="E30" i="44"/>
  <c r="F30" i="44"/>
  <c r="J30" i="44" s="1"/>
  <c r="K30" i="44" s="1"/>
  <c r="G30" i="44"/>
  <c r="D20" i="44"/>
  <c r="E20" i="44"/>
  <c r="F20" i="44"/>
  <c r="G20" i="44"/>
  <c r="F30" i="18"/>
  <c r="H30" i="18" s="1"/>
  <c r="G30" i="18"/>
  <c r="I30" i="18" s="1"/>
  <c r="F20" i="18"/>
  <c r="G20" i="18"/>
  <c r="D30" i="41"/>
  <c r="C30" i="41" s="1"/>
  <c r="D20" i="41"/>
  <c r="C20" i="41" s="1"/>
  <c r="C30" i="22"/>
  <c r="C20" i="22"/>
  <c r="C30" i="35"/>
  <c r="C20" i="35"/>
  <c r="L30" i="30"/>
  <c r="I30" i="30"/>
  <c r="F30" i="30"/>
  <c r="C30" i="30"/>
  <c r="L20" i="30"/>
  <c r="I20" i="30"/>
  <c r="F20" i="30"/>
  <c r="F30" i="14"/>
  <c r="I30" i="14"/>
  <c r="L30" i="14"/>
  <c r="O30" i="14"/>
  <c r="T30" i="14"/>
  <c r="T20" i="14"/>
  <c r="O20" i="14"/>
  <c r="L20" i="14"/>
  <c r="I20" i="14"/>
  <c r="F20" i="14"/>
  <c r="K3" i="42"/>
  <c r="F3" i="42"/>
  <c r="H3" i="44"/>
  <c r="G3" i="18"/>
  <c r="F3" i="18"/>
  <c r="F90" i="34"/>
  <c r="F98" i="34"/>
  <c r="F106" i="34"/>
  <c r="F114" i="34"/>
  <c r="F23" i="34"/>
  <c r="F31" i="34"/>
  <c r="F39" i="34"/>
  <c r="F47" i="34"/>
  <c r="F55" i="34"/>
  <c r="F10" i="34"/>
  <c r="F18" i="34"/>
  <c r="I38" i="45"/>
  <c r="I37" i="45"/>
  <c r="I36" i="45"/>
  <c r="I35" i="45"/>
  <c r="I34" i="45"/>
  <c r="I33" i="45"/>
  <c r="I32" i="45"/>
  <c r="I31" i="45"/>
  <c r="I29" i="45"/>
  <c r="I28" i="45"/>
  <c r="I27" i="45"/>
  <c r="I26" i="45"/>
  <c r="I25" i="45"/>
  <c r="I24" i="45"/>
  <c r="I23" i="45"/>
  <c r="I22" i="45"/>
  <c r="I21" i="45"/>
  <c r="I19" i="45"/>
  <c r="I18" i="45"/>
  <c r="I17" i="45"/>
  <c r="I16" i="45"/>
  <c r="I15" i="45"/>
  <c r="I14" i="45"/>
  <c r="I13" i="45"/>
  <c r="I12" i="45"/>
  <c r="I11" i="45"/>
  <c r="I10" i="45"/>
  <c r="I9" i="45"/>
  <c r="I8" i="45"/>
  <c r="I7" i="45"/>
  <c r="I6" i="45"/>
  <c r="I5" i="45"/>
  <c r="H38" i="45"/>
  <c r="H37" i="45"/>
  <c r="H36" i="45"/>
  <c r="H35" i="45"/>
  <c r="H34" i="45"/>
  <c r="H33" i="45"/>
  <c r="H32" i="45"/>
  <c r="H31" i="45"/>
  <c r="H29" i="45"/>
  <c r="H28" i="45"/>
  <c r="H27" i="45"/>
  <c r="H26" i="45"/>
  <c r="H25" i="45"/>
  <c r="H24" i="45"/>
  <c r="H23" i="45"/>
  <c r="H22" i="45"/>
  <c r="H21" i="45"/>
  <c r="H19" i="45"/>
  <c r="H18" i="45"/>
  <c r="H17" i="45"/>
  <c r="H16" i="45"/>
  <c r="H15" i="45"/>
  <c r="H14" i="45"/>
  <c r="H13" i="45"/>
  <c r="H12" i="45"/>
  <c r="H11" i="45"/>
  <c r="H10" i="45"/>
  <c r="H9" i="45"/>
  <c r="H8" i="45"/>
  <c r="H7" i="45"/>
  <c r="H6" i="45"/>
  <c r="H5" i="45"/>
  <c r="G38" i="45"/>
  <c r="G37" i="45"/>
  <c r="G36" i="45"/>
  <c r="G35" i="45"/>
  <c r="G34" i="45"/>
  <c r="G33" i="45"/>
  <c r="G32" i="45"/>
  <c r="G31" i="45"/>
  <c r="G29" i="45"/>
  <c r="G28" i="45"/>
  <c r="G27" i="45"/>
  <c r="G26" i="45"/>
  <c r="G25" i="45"/>
  <c r="G24" i="45"/>
  <c r="G23" i="45"/>
  <c r="G22" i="45"/>
  <c r="G21" i="45"/>
  <c r="G19" i="45"/>
  <c r="G18" i="45"/>
  <c r="G17" i="45"/>
  <c r="G16" i="45"/>
  <c r="G15" i="45"/>
  <c r="G14" i="45"/>
  <c r="G13" i="45"/>
  <c r="G12" i="45"/>
  <c r="G11" i="45"/>
  <c r="G10" i="45"/>
  <c r="G9" i="45"/>
  <c r="G8" i="45"/>
  <c r="G7" i="45"/>
  <c r="G6" i="45"/>
  <c r="G5" i="45"/>
  <c r="F38" i="45"/>
  <c r="F37" i="45"/>
  <c r="F36" i="45"/>
  <c r="F35" i="45"/>
  <c r="F34" i="45"/>
  <c r="F33" i="45"/>
  <c r="F32" i="45"/>
  <c r="F31" i="45"/>
  <c r="F29" i="45"/>
  <c r="F28" i="45"/>
  <c r="F27" i="45"/>
  <c r="F26" i="45"/>
  <c r="F25" i="45"/>
  <c r="F24" i="45"/>
  <c r="F23" i="45"/>
  <c r="F22" i="45"/>
  <c r="F21" i="45"/>
  <c r="F19" i="45"/>
  <c r="F18" i="45"/>
  <c r="F17" i="45"/>
  <c r="F16" i="45"/>
  <c r="F15" i="45"/>
  <c r="F14" i="45"/>
  <c r="F13" i="45"/>
  <c r="F12" i="45"/>
  <c r="F11" i="45"/>
  <c r="F10" i="45"/>
  <c r="F9" i="45"/>
  <c r="F8" i="45"/>
  <c r="F7" i="45"/>
  <c r="F6" i="45"/>
  <c r="F5" i="45"/>
  <c r="E38" i="45"/>
  <c r="E37" i="45"/>
  <c r="E36" i="45"/>
  <c r="E35" i="45"/>
  <c r="E34" i="45"/>
  <c r="E33" i="45"/>
  <c r="E32" i="45"/>
  <c r="E31" i="45"/>
  <c r="E29" i="45"/>
  <c r="E28" i="45"/>
  <c r="E27" i="45"/>
  <c r="E26" i="45"/>
  <c r="E25" i="45"/>
  <c r="E24" i="45"/>
  <c r="E23" i="45"/>
  <c r="E22" i="45"/>
  <c r="E21" i="45"/>
  <c r="E19" i="45"/>
  <c r="E18" i="45"/>
  <c r="E17" i="45"/>
  <c r="E16" i="45"/>
  <c r="E15" i="45"/>
  <c r="E14" i="45"/>
  <c r="E13" i="45"/>
  <c r="E12" i="45"/>
  <c r="E11" i="45"/>
  <c r="E10" i="45"/>
  <c r="E9" i="45"/>
  <c r="E8" i="45"/>
  <c r="E7" i="45"/>
  <c r="E6" i="45"/>
  <c r="E5" i="45"/>
  <c r="J38" i="45"/>
  <c r="K33" i="45"/>
  <c r="J32" i="45"/>
  <c r="K28" i="45"/>
  <c r="K24" i="45"/>
  <c r="K23" i="45"/>
  <c r="J22" i="45"/>
  <c r="K21" i="45"/>
  <c r="K19" i="45"/>
  <c r="J17" i="45"/>
  <c r="K15" i="45"/>
  <c r="K12" i="45"/>
  <c r="J7" i="45"/>
  <c r="K6" i="45"/>
  <c r="I38" i="42"/>
  <c r="I37" i="42"/>
  <c r="I35" i="42"/>
  <c r="I34" i="42"/>
  <c r="I33" i="42"/>
  <c r="I32" i="42"/>
  <c r="I31" i="42"/>
  <c r="I29" i="42"/>
  <c r="I28" i="42"/>
  <c r="I27" i="42"/>
  <c r="I26" i="42"/>
  <c r="I25" i="42"/>
  <c r="I24" i="42"/>
  <c r="I23" i="42"/>
  <c r="I22" i="42"/>
  <c r="I21" i="42"/>
  <c r="I19" i="42"/>
  <c r="I18" i="42"/>
  <c r="I17" i="42"/>
  <c r="I16" i="42"/>
  <c r="I15" i="42"/>
  <c r="I14" i="42"/>
  <c r="I13" i="42"/>
  <c r="I12" i="42"/>
  <c r="I11" i="42"/>
  <c r="I10" i="42"/>
  <c r="I9" i="42"/>
  <c r="I8" i="42"/>
  <c r="I7" i="42"/>
  <c r="I6" i="42"/>
  <c r="I5" i="42"/>
  <c r="J38" i="42"/>
  <c r="J37" i="42"/>
  <c r="J35" i="42"/>
  <c r="K35" i="42" s="1"/>
  <c r="L35" i="42" s="1"/>
  <c r="J34" i="42"/>
  <c r="M34" i="42" s="1"/>
  <c r="J33" i="42"/>
  <c r="K33" i="42" s="1"/>
  <c r="L33" i="42" s="1"/>
  <c r="J32" i="42"/>
  <c r="J31" i="42"/>
  <c r="M31" i="42" s="1"/>
  <c r="J29" i="42"/>
  <c r="J28" i="42"/>
  <c r="J27" i="42"/>
  <c r="J26" i="42"/>
  <c r="M26" i="42" s="1"/>
  <c r="J25" i="42"/>
  <c r="M25" i="42" s="1"/>
  <c r="J24" i="42"/>
  <c r="J23" i="42"/>
  <c r="M23" i="42" s="1"/>
  <c r="J22" i="42"/>
  <c r="M22" i="42" s="1"/>
  <c r="J21" i="42"/>
  <c r="J19" i="42"/>
  <c r="M19" i="42" s="1"/>
  <c r="J18" i="42"/>
  <c r="J17" i="42"/>
  <c r="M17" i="42" s="1"/>
  <c r="J16" i="42"/>
  <c r="M16" i="42" s="1"/>
  <c r="J15" i="42"/>
  <c r="J14" i="42"/>
  <c r="M14" i="42" s="1"/>
  <c r="J13" i="42"/>
  <c r="M13" i="42" s="1"/>
  <c r="J12" i="42"/>
  <c r="J11" i="42"/>
  <c r="M11" i="42" s="1"/>
  <c r="J10" i="42"/>
  <c r="J9" i="42"/>
  <c r="M9" i="42" s="1"/>
  <c r="J8" i="42"/>
  <c r="M8" i="42" s="1"/>
  <c r="J7" i="42"/>
  <c r="K7" i="42" s="1"/>
  <c r="L7" i="42" s="1"/>
  <c r="J6" i="42"/>
  <c r="J5" i="42"/>
  <c r="E38" i="42"/>
  <c r="F38" i="42" s="1"/>
  <c r="E37" i="42"/>
  <c r="F37" i="42" s="1"/>
  <c r="E36" i="42"/>
  <c r="F36" i="42" s="1"/>
  <c r="E35" i="42"/>
  <c r="F35" i="42" s="1"/>
  <c r="E34" i="42"/>
  <c r="F34" i="42" s="1"/>
  <c r="E33" i="42"/>
  <c r="F33" i="42" s="1"/>
  <c r="E32" i="42"/>
  <c r="F32" i="42" s="1"/>
  <c r="E31" i="42"/>
  <c r="F31" i="42" s="1"/>
  <c r="E29" i="42"/>
  <c r="F29" i="42" s="1"/>
  <c r="E28" i="42"/>
  <c r="F28" i="42" s="1"/>
  <c r="E27" i="42"/>
  <c r="F27" i="42" s="1"/>
  <c r="E26" i="42"/>
  <c r="F26" i="42" s="1"/>
  <c r="E25" i="42"/>
  <c r="F25" i="42" s="1"/>
  <c r="E24" i="42"/>
  <c r="E23" i="42"/>
  <c r="F23" i="42" s="1"/>
  <c r="E22" i="42"/>
  <c r="F22" i="42" s="1"/>
  <c r="E21" i="42"/>
  <c r="F21" i="42" s="1"/>
  <c r="E19" i="42"/>
  <c r="F19" i="42" s="1"/>
  <c r="E18" i="42"/>
  <c r="F18" i="42" s="1"/>
  <c r="E17" i="42"/>
  <c r="F17" i="42" s="1"/>
  <c r="E16" i="42"/>
  <c r="F16" i="42" s="1"/>
  <c r="E15" i="42"/>
  <c r="E14" i="42"/>
  <c r="F14" i="42" s="1"/>
  <c r="E13" i="42"/>
  <c r="F13" i="42" s="1"/>
  <c r="E12" i="42"/>
  <c r="F12" i="42" s="1"/>
  <c r="E11" i="42"/>
  <c r="F11" i="42" s="1"/>
  <c r="E10" i="42"/>
  <c r="F10" i="42" s="1"/>
  <c r="E9" i="42"/>
  <c r="F9" i="42" s="1"/>
  <c r="E8" i="42"/>
  <c r="F8" i="42" s="1"/>
  <c r="E7" i="42"/>
  <c r="F7" i="42" s="1"/>
  <c r="E6" i="42"/>
  <c r="F6" i="42" s="1"/>
  <c r="E5" i="42"/>
  <c r="F5" i="42" s="1"/>
  <c r="D6" i="42"/>
  <c r="D7" i="42"/>
  <c r="D8" i="42"/>
  <c r="D9" i="42"/>
  <c r="D10" i="42"/>
  <c r="D11" i="42"/>
  <c r="D12" i="42"/>
  <c r="D13" i="42"/>
  <c r="D14" i="42"/>
  <c r="D15" i="42"/>
  <c r="D16" i="42"/>
  <c r="D17" i="42"/>
  <c r="D18" i="42"/>
  <c r="D19" i="42"/>
  <c r="D21" i="42"/>
  <c r="D22" i="42"/>
  <c r="D23" i="42"/>
  <c r="D24" i="42"/>
  <c r="D25" i="42"/>
  <c r="D26" i="42"/>
  <c r="D27" i="42"/>
  <c r="D28" i="42"/>
  <c r="D29" i="42"/>
  <c r="D31" i="42"/>
  <c r="D32" i="42"/>
  <c r="D33" i="42"/>
  <c r="D34" i="42"/>
  <c r="D35" i="42"/>
  <c r="D36" i="42"/>
  <c r="D37" i="42"/>
  <c r="D38" i="42"/>
  <c r="D5" i="42"/>
  <c r="G38" i="44"/>
  <c r="G37" i="44"/>
  <c r="G36" i="44"/>
  <c r="G35" i="44"/>
  <c r="G34" i="44"/>
  <c r="G33" i="44"/>
  <c r="G32" i="44"/>
  <c r="G31" i="44"/>
  <c r="G29" i="44"/>
  <c r="G28" i="44"/>
  <c r="G27" i="44"/>
  <c r="G26" i="44"/>
  <c r="G25" i="44"/>
  <c r="G24" i="44"/>
  <c r="G23" i="44"/>
  <c r="G22" i="44"/>
  <c r="G21" i="44"/>
  <c r="G19" i="44"/>
  <c r="G18" i="44"/>
  <c r="G17" i="44"/>
  <c r="G16" i="44"/>
  <c r="G15" i="44"/>
  <c r="G14" i="44"/>
  <c r="G13" i="44"/>
  <c r="G12" i="44"/>
  <c r="G11" i="44"/>
  <c r="G10" i="44"/>
  <c r="G9" i="44"/>
  <c r="G8" i="44"/>
  <c r="G7" i="44"/>
  <c r="G6" i="44"/>
  <c r="G5" i="44"/>
  <c r="F38" i="44"/>
  <c r="H38" i="44" s="1"/>
  <c r="I38" i="44" s="1"/>
  <c r="F37" i="44"/>
  <c r="H37" i="44" s="1"/>
  <c r="I37" i="44" s="1"/>
  <c r="F36" i="44"/>
  <c r="H36" i="44" s="1"/>
  <c r="I36" i="44" s="1"/>
  <c r="F35" i="44"/>
  <c r="H35" i="44" s="1"/>
  <c r="I35" i="44" s="1"/>
  <c r="F34" i="44"/>
  <c r="H34" i="44" s="1"/>
  <c r="I34" i="44" s="1"/>
  <c r="F33" i="44"/>
  <c r="H33" i="44" s="1"/>
  <c r="I33" i="44" s="1"/>
  <c r="F32" i="44"/>
  <c r="H32" i="44" s="1"/>
  <c r="I32" i="44" s="1"/>
  <c r="F31" i="44"/>
  <c r="H31" i="44" s="1"/>
  <c r="I31" i="44" s="1"/>
  <c r="F29" i="44"/>
  <c r="H29" i="44" s="1"/>
  <c r="I29" i="44" s="1"/>
  <c r="F28" i="44"/>
  <c r="H28" i="44" s="1"/>
  <c r="I28" i="44" s="1"/>
  <c r="F27" i="44"/>
  <c r="H27" i="44" s="1"/>
  <c r="I27" i="44" s="1"/>
  <c r="F26" i="44"/>
  <c r="H26" i="44" s="1"/>
  <c r="I26" i="44" s="1"/>
  <c r="F25" i="44"/>
  <c r="H25" i="44" s="1"/>
  <c r="I25" i="44" s="1"/>
  <c r="F24" i="44"/>
  <c r="H24" i="44" s="1"/>
  <c r="I24" i="44" s="1"/>
  <c r="F23" i="44"/>
  <c r="H23" i="44" s="1"/>
  <c r="I23" i="44" s="1"/>
  <c r="F22" i="44"/>
  <c r="H22" i="44" s="1"/>
  <c r="I22" i="44" s="1"/>
  <c r="F21" i="44"/>
  <c r="F19" i="44"/>
  <c r="H19" i="44" s="1"/>
  <c r="I19" i="44" s="1"/>
  <c r="F18" i="44"/>
  <c r="H18" i="44" s="1"/>
  <c r="I18" i="44" s="1"/>
  <c r="F17" i="44"/>
  <c r="H17" i="44" s="1"/>
  <c r="I17" i="44" s="1"/>
  <c r="F16" i="44"/>
  <c r="H16" i="44" s="1"/>
  <c r="I16" i="44" s="1"/>
  <c r="F15" i="44"/>
  <c r="H15" i="44" s="1"/>
  <c r="I15" i="44" s="1"/>
  <c r="F14" i="44"/>
  <c r="H14" i="44" s="1"/>
  <c r="I14" i="44" s="1"/>
  <c r="F13" i="44"/>
  <c r="H13" i="44" s="1"/>
  <c r="I13" i="44" s="1"/>
  <c r="F12" i="44"/>
  <c r="H12" i="44" s="1"/>
  <c r="I12" i="44" s="1"/>
  <c r="F11" i="44"/>
  <c r="H11" i="44" s="1"/>
  <c r="I11" i="44" s="1"/>
  <c r="F10" i="44"/>
  <c r="H10" i="44" s="1"/>
  <c r="I10" i="44" s="1"/>
  <c r="F9" i="44"/>
  <c r="H9" i="44" s="1"/>
  <c r="I9" i="44" s="1"/>
  <c r="F8" i="44"/>
  <c r="H8" i="44" s="1"/>
  <c r="I8" i="44" s="1"/>
  <c r="F7" i="44"/>
  <c r="H7" i="44" s="1"/>
  <c r="I7" i="44" s="1"/>
  <c r="F6" i="44"/>
  <c r="H6" i="44" s="1"/>
  <c r="I6" i="44" s="1"/>
  <c r="F5" i="44"/>
  <c r="H5" i="44" s="1"/>
  <c r="I5" i="44" s="1"/>
  <c r="E38" i="44"/>
  <c r="E37" i="44"/>
  <c r="E36" i="44"/>
  <c r="E35" i="44"/>
  <c r="E34" i="44"/>
  <c r="E33" i="44"/>
  <c r="E32" i="44"/>
  <c r="E31" i="44"/>
  <c r="E29" i="44"/>
  <c r="E28" i="44"/>
  <c r="E27" i="44"/>
  <c r="E26" i="44"/>
  <c r="E25" i="44"/>
  <c r="E24" i="44"/>
  <c r="E23" i="44"/>
  <c r="E22" i="44"/>
  <c r="E21" i="44"/>
  <c r="E19" i="44"/>
  <c r="E18" i="44"/>
  <c r="E17" i="44"/>
  <c r="E16" i="44"/>
  <c r="E15" i="44"/>
  <c r="E14" i="44"/>
  <c r="E13" i="44"/>
  <c r="E12" i="44"/>
  <c r="E11" i="44"/>
  <c r="E10" i="44"/>
  <c r="E9" i="44"/>
  <c r="E8" i="44"/>
  <c r="E7" i="44"/>
  <c r="E6" i="44"/>
  <c r="E5" i="44"/>
  <c r="D38" i="44"/>
  <c r="D37" i="44"/>
  <c r="D36" i="44"/>
  <c r="D35" i="44"/>
  <c r="D34" i="44"/>
  <c r="D33" i="44"/>
  <c r="D32" i="44"/>
  <c r="D31" i="44"/>
  <c r="D29" i="44"/>
  <c r="D28" i="44"/>
  <c r="D27" i="44"/>
  <c r="D26" i="44"/>
  <c r="D25" i="44"/>
  <c r="D24" i="44"/>
  <c r="D23" i="44"/>
  <c r="D22" i="44"/>
  <c r="D21" i="44"/>
  <c r="D19" i="44"/>
  <c r="D18" i="44"/>
  <c r="D17" i="44"/>
  <c r="D16" i="44"/>
  <c r="D15" i="44"/>
  <c r="D14" i="44"/>
  <c r="D13" i="44"/>
  <c r="D12" i="44"/>
  <c r="D11" i="44"/>
  <c r="D10" i="44"/>
  <c r="D9" i="44"/>
  <c r="D8" i="44"/>
  <c r="D7" i="44"/>
  <c r="D6" i="44"/>
  <c r="D5" i="44"/>
  <c r="G38" i="18"/>
  <c r="I38" i="18" s="1"/>
  <c r="G37" i="18"/>
  <c r="I37" i="18" s="1"/>
  <c r="G36" i="18"/>
  <c r="I36" i="18" s="1"/>
  <c r="G35" i="18"/>
  <c r="I35" i="18" s="1"/>
  <c r="G34" i="18"/>
  <c r="I34" i="18" s="1"/>
  <c r="G33" i="18"/>
  <c r="I33" i="18" s="1"/>
  <c r="G32" i="18"/>
  <c r="I32" i="18" s="1"/>
  <c r="G31" i="18"/>
  <c r="I31" i="18" s="1"/>
  <c r="G29" i="18"/>
  <c r="I29" i="18" s="1"/>
  <c r="G28" i="18"/>
  <c r="I28" i="18" s="1"/>
  <c r="G27" i="18"/>
  <c r="I27" i="18" s="1"/>
  <c r="G26" i="18"/>
  <c r="I26" i="18" s="1"/>
  <c r="G25" i="18"/>
  <c r="I25" i="18" s="1"/>
  <c r="G24" i="18"/>
  <c r="I24" i="18" s="1"/>
  <c r="G23" i="18"/>
  <c r="I23" i="18" s="1"/>
  <c r="G22" i="18"/>
  <c r="I22" i="18" s="1"/>
  <c r="G21" i="18"/>
  <c r="I21" i="18" s="1"/>
  <c r="G19" i="18"/>
  <c r="I19" i="18" s="1"/>
  <c r="G18" i="18"/>
  <c r="I18" i="18" s="1"/>
  <c r="G17" i="18"/>
  <c r="I17" i="18" s="1"/>
  <c r="G16" i="18"/>
  <c r="I16" i="18" s="1"/>
  <c r="G15" i="18"/>
  <c r="I15" i="18" s="1"/>
  <c r="G14" i="18"/>
  <c r="I14" i="18" s="1"/>
  <c r="G13" i="18"/>
  <c r="I13" i="18" s="1"/>
  <c r="G12" i="18"/>
  <c r="I12" i="18" s="1"/>
  <c r="G11" i="18"/>
  <c r="I11" i="18" s="1"/>
  <c r="G10" i="18"/>
  <c r="I10" i="18" s="1"/>
  <c r="G9" i="18"/>
  <c r="I9" i="18" s="1"/>
  <c r="G8" i="18"/>
  <c r="I8" i="18" s="1"/>
  <c r="G7" i="18"/>
  <c r="I7" i="18" s="1"/>
  <c r="G6" i="18"/>
  <c r="I6" i="18" s="1"/>
  <c r="G5" i="18"/>
  <c r="I5" i="18" s="1"/>
  <c r="F38" i="18"/>
  <c r="H38" i="18" s="1"/>
  <c r="F37" i="18"/>
  <c r="H37" i="18" s="1"/>
  <c r="F36" i="18"/>
  <c r="H36" i="18" s="1"/>
  <c r="F35" i="18"/>
  <c r="H35" i="18" s="1"/>
  <c r="F34" i="18"/>
  <c r="H34" i="18" s="1"/>
  <c r="F33" i="18"/>
  <c r="H33" i="18" s="1"/>
  <c r="F32" i="18"/>
  <c r="H32" i="18" s="1"/>
  <c r="F31" i="18"/>
  <c r="H31" i="18" s="1"/>
  <c r="F29" i="18"/>
  <c r="H29" i="18" s="1"/>
  <c r="F28" i="18"/>
  <c r="H28" i="18" s="1"/>
  <c r="F27" i="18"/>
  <c r="H27" i="18" s="1"/>
  <c r="F26" i="18"/>
  <c r="H26" i="18" s="1"/>
  <c r="F25" i="18"/>
  <c r="H25" i="18" s="1"/>
  <c r="F24" i="18"/>
  <c r="H24" i="18" s="1"/>
  <c r="F23" i="18"/>
  <c r="H23" i="18" s="1"/>
  <c r="F22" i="18"/>
  <c r="H22" i="18" s="1"/>
  <c r="F21" i="18"/>
  <c r="H21" i="18" s="1"/>
  <c r="F19" i="18"/>
  <c r="H19" i="18" s="1"/>
  <c r="F18" i="18"/>
  <c r="H18" i="18" s="1"/>
  <c r="F17" i="18"/>
  <c r="H17" i="18" s="1"/>
  <c r="F16" i="18"/>
  <c r="H16" i="18" s="1"/>
  <c r="F15" i="18"/>
  <c r="H15" i="18" s="1"/>
  <c r="F14" i="18"/>
  <c r="H14" i="18" s="1"/>
  <c r="F13" i="18"/>
  <c r="H13" i="18" s="1"/>
  <c r="F12" i="18"/>
  <c r="H12" i="18" s="1"/>
  <c r="F11" i="18"/>
  <c r="H11" i="18" s="1"/>
  <c r="F10" i="18"/>
  <c r="H10" i="18" s="1"/>
  <c r="F9" i="18"/>
  <c r="H9" i="18" s="1"/>
  <c r="F8" i="18"/>
  <c r="H8" i="18" s="1"/>
  <c r="F7" i="18"/>
  <c r="H7" i="18" s="1"/>
  <c r="F6" i="18"/>
  <c r="H6" i="18" s="1"/>
  <c r="F5" i="18"/>
  <c r="H5" i="18" s="1"/>
  <c r="C5" i="22"/>
  <c r="C6" i="22"/>
  <c r="C7" i="22"/>
  <c r="C8" i="22"/>
  <c r="C9" i="22"/>
  <c r="C10" i="22"/>
  <c r="C11" i="22"/>
  <c r="C12" i="22"/>
  <c r="C13" i="22"/>
  <c r="C14" i="22"/>
  <c r="C15" i="22"/>
  <c r="C16" i="22"/>
  <c r="C17" i="22"/>
  <c r="C18" i="22"/>
  <c r="C19" i="22"/>
  <c r="C21" i="22"/>
  <c r="C22" i="22"/>
  <c r="C23" i="22"/>
  <c r="C24" i="22"/>
  <c r="C25" i="22"/>
  <c r="C26" i="22"/>
  <c r="C27" i="22"/>
  <c r="C28" i="22"/>
  <c r="C29" i="22"/>
  <c r="C31" i="22"/>
  <c r="C32" i="22"/>
  <c r="C33" i="22"/>
  <c r="C34" i="22"/>
  <c r="C35" i="22"/>
  <c r="C36" i="22"/>
  <c r="C37" i="22"/>
  <c r="C38" i="22"/>
  <c r="J6" i="34"/>
  <c r="F6" i="34" s="1"/>
  <c r="J7" i="34"/>
  <c r="F7" i="34" s="1"/>
  <c r="J8" i="34"/>
  <c r="F8" i="34" s="1"/>
  <c r="J9" i="34"/>
  <c r="F9" i="34" s="1"/>
  <c r="J10" i="34"/>
  <c r="J11" i="34"/>
  <c r="F11" i="34" s="1"/>
  <c r="J12" i="34"/>
  <c r="F12" i="34" s="1"/>
  <c r="J13" i="34"/>
  <c r="F13" i="34" s="1"/>
  <c r="J14" i="34"/>
  <c r="F14" i="34" s="1"/>
  <c r="J15" i="34"/>
  <c r="F15" i="34" s="1"/>
  <c r="J16" i="34"/>
  <c r="F16" i="34" s="1"/>
  <c r="J17" i="34"/>
  <c r="F17" i="34" s="1"/>
  <c r="J18" i="34"/>
  <c r="J19" i="34"/>
  <c r="F19" i="34" s="1"/>
  <c r="J20" i="34"/>
  <c r="F20" i="34" s="1"/>
  <c r="J21" i="34"/>
  <c r="F21" i="34" s="1"/>
  <c r="J22" i="34"/>
  <c r="F22" i="34" s="1"/>
  <c r="J23" i="34"/>
  <c r="J24" i="34"/>
  <c r="F24" i="34" s="1"/>
  <c r="J25" i="34"/>
  <c r="F25" i="34" s="1"/>
  <c r="J26" i="34"/>
  <c r="F26" i="34" s="1"/>
  <c r="J27" i="34"/>
  <c r="F27" i="34" s="1"/>
  <c r="J28" i="34"/>
  <c r="F28" i="34" s="1"/>
  <c r="J29" i="34"/>
  <c r="F29" i="34" s="1"/>
  <c r="J30" i="34"/>
  <c r="F30" i="34" s="1"/>
  <c r="J31" i="34"/>
  <c r="J32" i="34"/>
  <c r="F32" i="34" s="1"/>
  <c r="J33" i="34"/>
  <c r="F33" i="34" s="1"/>
  <c r="J34" i="34"/>
  <c r="F34" i="34" s="1"/>
  <c r="J35" i="34"/>
  <c r="F35" i="34" s="1"/>
  <c r="J36" i="34"/>
  <c r="F36" i="34" s="1"/>
  <c r="J37" i="34"/>
  <c r="F37" i="34" s="1"/>
  <c r="J38" i="34"/>
  <c r="F38" i="34" s="1"/>
  <c r="J39" i="34"/>
  <c r="J40" i="34"/>
  <c r="F40" i="34" s="1"/>
  <c r="J41" i="34"/>
  <c r="F41" i="34" s="1"/>
  <c r="J42" i="34"/>
  <c r="F42" i="34" s="1"/>
  <c r="J43" i="34"/>
  <c r="F43" i="34" s="1"/>
  <c r="J44" i="34"/>
  <c r="F44" i="34" s="1"/>
  <c r="J45" i="34"/>
  <c r="F45" i="34" s="1"/>
  <c r="J46" i="34"/>
  <c r="F46" i="34" s="1"/>
  <c r="J47" i="34"/>
  <c r="J48" i="34"/>
  <c r="F48" i="34" s="1"/>
  <c r="J49" i="34"/>
  <c r="F49" i="34" s="1"/>
  <c r="J50" i="34"/>
  <c r="F50" i="34" s="1"/>
  <c r="J51" i="34"/>
  <c r="F51" i="34" s="1"/>
  <c r="J52" i="34"/>
  <c r="F52" i="34" s="1"/>
  <c r="J53" i="34"/>
  <c r="F53" i="34" s="1"/>
  <c r="J54" i="34"/>
  <c r="F54" i="34" s="1"/>
  <c r="J55" i="34"/>
  <c r="J56" i="34"/>
  <c r="F56" i="34" s="1"/>
  <c r="J57" i="34"/>
  <c r="F57" i="34" s="1"/>
  <c r="J58" i="34"/>
  <c r="F58" i="34" s="1"/>
  <c r="J59" i="34"/>
  <c r="F59" i="34" s="1"/>
  <c r="J60" i="34"/>
  <c r="F60" i="34" s="1"/>
  <c r="J61" i="34"/>
  <c r="F61" i="34" s="1"/>
  <c r="J62" i="34"/>
  <c r="F62" i="34" s="1"/>
  <c r="J63" i="34"/>
  <c r="F63" i="34" s="1"/>
  <c r="J64" i="34"/>
  <c r="F64" i="34" s="1"/>
  <c r="J65" i="34"/>
  <c r="F65" i="34" s="1"/>
  <c r="J66" i="34"/>
  <c r="F66" i="34" s="1"/>
  <c r="J67" i="34"/>
  <c r="F67" i="34" s="1"/>
  <c r="J68" i="34"/>
  <c r="F68" i="34" s="1"/>
  <c r="J69" i="34"/>
  <c r="F69" i="34" s="1"/>
  <c r="J70" i="34"/>
  <c r="F70" i="34" s="1"/>
  <c r="J71" i="34"/>
  <c r="F71" i="34" s="1"/>
  <c r="J72" i="34"/>
  <c r="F72" i="34" s="1"/>
  <c r="J73" i="34"/>
  <c r="F73" i="34" s="1"/>
  <c r="J74" i="34"/>
  <c r="F74" i="34" s="1"/>
  <c r="J75" i="34"/>
  <c r="F75" i="34" s="1"/>
  <c r="J76" i="34"/>
  <c r="F76" i="34" s="1"/>
  <c r="J77" i="34"/>
  <c r="F77" i="34" s="1"/>
  <c r="J78" i="34"/>
  <c r="F78" i="34" s="1"/>
  <c r="J79" i="34"/>
  <c r="F79" i="34" s="1"/>
  <c r="J80" i="34"/>
  <c r="F80" i="34" s="1"/>
  <c r="J81" i="34"/>
  <c r="F81" i="34" s="1"/>
  <c r="J82" i="34"/>
  <c r="F82" i="34" s="1"/>
  <c r="J83" i="34"/>
  <c r="F83" i="34" s="1"/>
  <c r="J84" i="34"/>
  <c r="F84" i="34" s="1"/>
  <c r="J85" i="34"/>
  <c r="F85" i="34" s="1"/>
  <c r="J86" i="34"/>
  <c r="F86" i="34" s="1"/>
  <c r="J87" i="34"/>
  <c r="F87" i="34" s="1"/>
  <c r="J88" i="34"/>
  <c r="F88" i="34" s="1"/>
  <c r="J89" i="34"/>
  <c r="F89" i="34" s="1"/>
  <c r="J90" i="34"/>
  <c r="J91" i="34"/>
  <c r="F91" i="34" s="1"/>
  <c r="J92" i="34"/>
  <c r="F92" i="34" s="1"/>
  <c r="J93" i="34"/>
  <c r="F93" i="34" s="1"/>
  <c r="J94" i="34"/>
  <c r="F94" i="34" s="1"/>
  <c r="J95" i="34"/>
  <c r="F95" i="34" s="1"/>
  <c r="J96" i="34"/>
  <c r="F96" i="34" s="1"/>
  <c r="J97" i="34"/>
  <c r="F97" i="34" s="1"/>
  <c r="J98" i="34"/>
  <c r="J99" i="34"/>
  <c r="F99" i="34" s="1"/>
  <c r="J100" i="34"/>
  <c r="F100" i="34" s="1"/>
  <c r="J101" i="34"/>
  <c r="F101" i="34" s="1"/>
  <c r="J102" i="34"/>
  <c r="F102" i="34" s="1"/>
  <c r="J103" i="34"/>
  <c r="F103" i="34" s="1"/>
  <c r="J104" i="34"/>
  <c r="F104" i="34" s="1"/>
  <c r="J105" i="34"/>
  <c r="F105" i="34" s="1"/>
  <c r="J106" i="34"/>
  <c r="J107" i="34"/>
  <c r="F107" i="34" s="1"/>
  <c r="J108" i="34"/>
  <c r="F108" i="34" s="1"/>
  <c r="J109" i="34"/>
  <c r="F109" i="34" s="1"/>
  <c r="J110" i="34"/>
  <c r="F110" i="34" s="1"/>
  <c r="J111" i="34"/>
  <c r="F111" i="34" s="1"/>
  <c r="J112" i="34"/>
  <c r="F112" i="34" s="1"/>
  <c r="J113" i="34"/>
  <c r="F113" i="34" s="1"/>
  <c r="J114" i="34"/>
  <c r="J115" i="34"/>
  <c r="F115" i="34" s="1"/>
  <c r="J116" i="34"/>
  <c r="F116" i="34" s="1"/>
  <c r="J117" i="34"/>
  <c r="F117" i="34" s="1"/>
  <c r="J118" i="34"/>
  <c r="F118" i="34" s="1"/>
  <c r="J119" i="34"/>
  <c r="F119" i="34" s="1"/>
  <c r="J120" i="34"/>
  <c r="F120" i="34" s="1"/>
  <c r="J121" i="34"/>
  <c r="F121" i="34" s="1"/>
  <c r="J122" i="34"/>
  <c r="F122" i="34" s="1"/>
  <c r="J123" i="34"/>
  <c r="F123" i="34" s="1"/>
  <c r="J124" i="34"/>
  <c r="F124" i="34" s="1"/>
  <c r="J125" i="34"/>
  <c r="F125" i="34" s="1"/>
  <c r="J126" i="34"/>
  <c r="F126" i="34" s="1"/>
  <c r="J127" i="34"/>
  <c r="F127" i="34" s="1"/>
  <c r="J128" i="34"/>
  <c r="F128" i="34" s="1"/>
  <c r="J129" i="34"/>
  <c r="F129" i="34" s="1"/>
  <c r="J130" i="34"/>
  <c r="F130" i="34" s="1"/>
  <c r="J131" i="34"/>
  <c r="F131" i="34" s="1"/>
  <c r="J132" i="34"/>
  <c r="F132" i="34" s="1"/>
  <c r="J133" i="34"/>
  <c r="F133" i="34" s="1"/>
  <c r="J134" i="34"/>
  <c r="F134" i="34" s="1"/>
  <c r="J135" i="34"/>
  <c r="F135" i="34" s="1"/>
  <c r="J136" i="34"/>
  <c r="F136" i="34" s="1"/>
  <c r="J137" i="34"/>
  <c r="F137" i="34" s="1"/>
  <c r="J138" i="34"/>
  <c r="F138" i="34" s="1"/>
  <c r="J139" i="34"/>
  <c r="F139" i="34" s="1"/>
  <c r="J140" i="34"/>
  <c r="F140" i="34" s="1"/>
  <c r="J141" i="34"/>
  <c r="F141" i="34" s="1"/>
  <c r="J142" i="34"/>
  <c r="F142" i="34" s="1"/>
  <c r="J143" i="34"/>
  <c r="F143" i="34" s="1"/>
  <c r="J144" i="34"/>
  <c r="F144" i="34" s="1"/>
  <c r="J145" i="34"/>
  <c r="F145" i="34" s="1"/>
  <c r="J146" i="34"/>
  <c r="F146" i="34" s="1"/>
  <c r="J147" i="34"/>
  <c r="F147" i="34" s="1"/>
  <c r="J148" i="34"/>
  <c r="F148" i="34" s="1"/>
  <c r="J149" i="34"/>
  <c r="F149" i="34" s="1"/>
  <c r="J150" i="34"/>
  <c r="F150" i="34" s="1"/>
  <c r="J151" i="34"/>
  <c r="F151" i="34" s="1"/>
  <c r="J152" i="34"/>
  <c r="F152" i="34" s="1"/>
  <c r="J153" i="34"/>
  <c r="F153" i="34" s="1"/>
  <c r="J154" i="34"/>
  <c r="F154" i="34" s="1"/>
  <c r="J155" i="34"/>
  <c r="F155" i="34" s="1"/>
  <c r="J156" i="34"/>
  <c r="F156" i="34" s="1"/>
  <c r="J157" i="34"/>
  <c r="F157" i="34" s="1"/>
  <c r="J158" i="34"/>
  <c r="F158" i="34" s="1"/>
  <c r="J159" i="34"/>
  <c r="F159" i="34" s="1"/>
  <c r="J160" i="34"/>
  <c r="F160" i="34" s="1"/>
  <c r="J5" i="34"/>
  <c r="F5" i="34" s="1"/>
  <c r="K8" i="45"/>
  <c r="K16" i="45"/>
  <c r="J25" i="45"/>
  <c r="K25" i="45"/>
  <c r="K29" i="45"/>
  <c r="K34" i="45"/>
  <c r="M3" i="28"/>
  <c r="K34" i="42"/>
  <c r="L34" i="42" s="1"/>
  <c r="F15" i="42"/>
  <c r="K6" i="42"/>
  <c r="L6" i="42" s="1"/>
  <c r="D6" i="41"/>
  <c r="C6" i="41" s="1"/>
  <c r="D7" i="41"/>
  <c r="C7" i="41" s="1"/>
  <c r="D8" i="41"/>
  <c r="C8" i="41" s="1"/>
  <c r="D9" i="41"/>
  <c r="C9" i="41" s="1"/>
  <c r="D10" i="41"/>
  <c r="C10" i="41" s="1"/>
  <c r="D11" i="41"/>
  <c r="C11" i="41" s="1"/>
  <c r="D12" i="41"/>
  <c r="C12" i="41" s="1"/>
  <c r="D13" i="41"/>
  <c r="C13" i="41" s="1"/>
  <c r="D14" i="41"/>
  <c r="C14" i="41" s="1"/>
  <c r="D15" i="41"/>
  <c r="C15" i="41" s="1"/>
  <c r="D16" i="41"/>
  <c r="C16" i="41" s="1"/>
  <c r="D17" i="41"/>
  <c r="C17" i="41" s="1"/>
  <c r="D18" i="41"/>
  <c r="C18" i="41" s="1"/>
  <c r="D19" i="41"/>
  <c r="C19" i="41" s="1"/>
  <c r="D21" i="41"/>
  <c r="C21" i="41" s="1"/>
  <c r="D22" i="41"/>
  <c r="C22" i="41" s="1"/>
  <c r="D23" i="41"/>
  <c r="C23" i="41" s="1"/>
  <c r="D24" i="41"/>
  <c r="C24" i="41" s="1"/>
  <c r="D25" i="41"/>
  <c r="C25" i="41" s="1"/>
  <c r="D26" i="41"/>
  <c r="C26" i="41" s="1"/>
  <c r="D27" i="41"/>
  <c r="C27" i="41" s="1"/>
  <c r="D28" i="41"/>
  <c r="C28" i="41" s="1"/>
  <c r="D29" i="41"/>
  <c r="C29" i="41" s="1"/>
  <c r="D31" i="41"/>
  <c r="C31" i="41" s="1"/>
  <c r="D32" i="41"/>
  <c r="C32" i="41" s="1"/>
  <c r="D33" i="41"/>
  <c r="C33" i="41" s="1"/>
  <c r="D34" i="41"/>
  <c r="C34" i="41" s="1"/>
  <c r="D35" i="41"/>
  <c r="C35" i="41" s="1"/>
  <c r="C36" i="41"/>
  <c r="C37" i="41"/>
  <c r="C38" i="41"/>
  <c r="D5" i="41"/>
  <c r="C5" i="41" s="1"/>
  <c r="L32" i="30"/>
  <c r="L37" i="30"/>
  <c r="L36" i="30"/>
  <c r="L33" i="30"/>
  <c r="L31" i="30"/>
  <c r="L29" i="30"/>
  <c r="L24" i="30"/>
  <c r="L25" i="30"/>
  <c r="L26" i="30"/>
  <c r="L27" i="30"/>
  <c r="L23" i="30"/>
  <c r="L6" i="30"/>
  <c r="L7" i="30"/>
  <c r="L8" i="30"/>
  <c r="L9" i="30"/>
  <c r="L10" i="30"/>
  <c r="L11" i="30"/>
  <c r="L12" i="30"/>
  <c r="L13" i="30"/>
  <c r="L14" i="30"/>
  <c r="L15" i="30"/>
  <c r="L16" i="30"/>
  <c r="L17" i="30"/>
  <c r="L18" i="30"/>
  <c r="L19" i="30"/>
  <c r="L21" i="30"/>
  <c r="L5" i="30"/>
  <c r="I22" i="30"/>
  <c r="C22" i="30" s="1"/>
  <c r="I23" i="30"/>
  <c r="I24" i="30"/>
  <c r="I25" i="30"/>
  <c r="I26" i="30"/>
  <c r="I27" i="30"/>
  <c r="I28" i="30"/>
  <c r="I29" i="30"/>
  <c r="I31" i="30"/>
  <c r="I32" i="30"/>
  <c r="I33" i="30"/>
  <c r="I34" i="30"/>
  <c r="I35" i="30"/>
  <c r="I36" i="30"/>
  <c r="I37" i="30"/>
  <c r="I21" i="30"/>
  <c r="I6" i="30"/>
  <c r="I7" i="30"/>
  <c r="I8" i="30"/>
  <c r="I9" i="30"/>
  <c r="I10" i="30"/>
  <c r="I11" i="30"/>
  <c r="I12" i="30"/>
  <c r="I13" i="30"/>
  <c r="I14" i="30"/>
  <c r="I15" i="30"/>
  <c r="I16" i="30"/>
  <c r="I17" i="30"/>
  <c r="I18" i="30"/>
  <c r="I5" i="30"/>
  <c r="F24" i="30"/>
  <c r="C24" i="30" s="1"/>
  <c r="F25" i="30"/>
  <c r="F26" i="30"/>
  <c r="F27" i="30"/>
  <c r="F28" i="30"/>
  <c r="F29" i="30"/>
  <c r="F31" i="30"/>
  <c r="F32" i="30"/>
  <c r="F33" i="30"/>
  <c r="F34" i="30"/>
  <c r="F36" i="30"/>
  <c r="F38" i="30"/>
  <c r="C38" i="30" s="1"/>
  <c r="F23" i="30"/>
  <c r="F13" i="30"/>
  <c r="F14" i="30"/>
  <c r="F15" i="30"/>
  <c r="F16" i="30"/>
  <c r="C16" i="30" s="1"/>
  <c r="F17" i="30"/>
  <c r="F18" i="30"/>
  <c r="F19" i="30"/>
  <c r="F21" i="30"/>
  <c r="F6" i="30"/>
  <c r="F7" i="30"/>
  <c r="F8" i="30"/>
  <c r="F9" i="30"/>
  <c r="F10" i="30"/>
  <c r="F11" i="30"/>
  <c r="F12" i="30"/>
  <c r="F5" i="30"/>
  <c r="T38" i="14"/>
  <c r="T36" i="14"/>
  <c r="T24" i="14"/>
  <c r="T25" i="14"/>
  <c r="T26" i="14"/>
  <c r="T27" i="14"/>
  <c r="T28" i="14"/>
  <c r="T29" i="14"/>
  <c r="T31" i="14"/>
  <c r="T32" i="14"/>
  <c r="T33" i="14"/>
  <c r="T34" i="14"/>
  <c r="T23" i="14"/>
  <c r="T6" i="14"/>
  <c r="T7" i="14"/>
  <c r="T8" i="14"/>
  <c r="T9" i="14"/>
  <c r="T10" i="14"/>
  <c r="T11" i="14"/>
  <c r="T12" i="14"/>
  <c r="T13" i="14"/>
  <c r="T14" i="14"/>
  <c r="T15" i="14"/>
  <c r="T16" i="14"/>
  <c r="T17" i="14"/>
  <c r="T18" i="14"/>
  <c r="T19" i="14"/>
  <c r="T21" i="14"/>
  <c r="T5" i="14"/>
  <c r="O6" i="14"/>
  <c r="O7" i="14"/>
  <c r="O8" i="14"/>
  <c r="O9" i="14"/>
  <c r="O10" i="14"/>
  <c r="O11" i="14"/>
  <c r="O12" i="14"/>
  <c r="O13" i="14"/>
  <c r="O14" i="14"/>
  <c r="O15" i="14"/>
  <c r="O16" i="14"/>
  <c r="O17" i="14"/>
  <c r="O18" i="14"/>
  <c r="O19" i="14"/>
  <c r="O21" i="14"/>
  <c r="O22" i="14"/>
  <c r="O23" i="14"/>
  <c r="O24" i="14"/>
  <c r="O25" i="14"/>
  <c r="O26" i="14"/>
  <c r="O27" i="14"/>
  <c r="O28" i="14"/>
  <c r="O29" i="14"/>
  <c r="O31" i="14"/>
  <c r="O32" i="14"/>
  <c r="O33" i="14"/>
  <c r="O34" i="14"/>
  <c r="O35" i="14"/>
  <c r="O36" i="14"/>
  <c r="O37" i="14"/>
  <c r="O38" i="14"/>
  <c r="O5" i="14"/>
  <c r="C6" i="35"/>
  <c r="C7" i="35"/>
  <c r="C8" i="35"/>
  <c r="C9" i="35"/>
  <c r="C10" i="35"/>
  <c r="C11" i="35"/>
  <c r="C12" i="35"/>
  <c r="C13" i="35"/>
  <c r="C14" i="35"/>
  <c r="C15" i="35"/>
  <c r="C16" i="35"/>
  <c r="C17" i="35"/>
  <c r="C18" i="35"/>
  <c r="C19" i="35"/>
  <c r="C21" i="35"/>
  <c r="C22" i="35"/>
  <c r="C23" i="35"/>
  <c r="C24" i="35"/>
  <c r="C25" i="35"/>
  <c r="C26" i="35"/>
  <c r="C27" i="35"/>
  <c r="C28" i="35"/>
  <c r="C29" i="35"/>
  <c r="C31" i="35"/>
  <c r="C32" i="35"/>
  <c r="C33" i="35"/>
  <c r="C34" i="35"/>
  <c r="C35" i="35"/>
  <c r="C36" i="35"/>
  <c r="C37" i="35"/>
  <c r="C38" i="35"/>
  <c r="C5" i="35"/>
  <c r="E3" i="35"/>
  <c r="E2" i="35"/>
  <c r="L38" i="14"/>
  <c r="L37" i="14"/>
  <c r="L36" i="14"/>
  <c r="L35" i="14"/>
  <c r="L34" i="14"/>
  <c r="L33" i="14"/>
  <c r="L32" i="14"/>
  <c r="L31" i="14"/>
  <c r="L29" i="14"/>
  <c r="L28" i="14"/>
  <c r="L27" i="14"/>
  <c r="L26" i="14"/>
  <c r="L25" i="14"/>
  <c r="L24" i="14"/>
  <c r="L23" i="14"/>
  <c r="L22" i="14"/>
  <c r="L21" i="14"/>
  <c r="L19" i="14"/>
  <c r="L18" i="14"/>
  <c r="L17" i="14"/>
  <c r="L16" i="14"/>
  <c r="L15" i="14"/>
  <c r="L14" i="14"/>
  <c r="L13" i="14"/>
  <c r="L12" i="14"/>
  <c r="L11" i="14"/>
  <c r="L10" i="14"/>
  <c r="L9" i="14"/>
  <c r="L8" i="14"/>
  <c r="L7" i="14"/>
  <c r="L6" i="14"/>
  <c r="L5" i="14"/>
  <c r="I38" i="14"/>
  <c r="I37" i="14"/>
  <c r="I36" i="14"/>
  <c r="I35" i="14"/>
  <c r="I34" i="14"/>
  <c r="I33" i="14"/>
  <c r="I32" i="14"/>
  <c r="I31" i="14"/>
  <c r="I29" i="14"/>
  <c r="I28" i="14"/>
  <c r="I27" i="14"/>
  <c r="I26" i="14"/>
  <c r="I25" i="14"/>
  <c r="I24" i="14"/>
  <c r="I23" i="14"/>
  <c r="I22" i="14"/>
  <c r="I21" i="14"/>
  <c r="I19" i="14"/>
  <c r="I18" i="14"/>
  <c r="I17" i="14"/>
  <c r="I16" i="14"/>
  <c r="I15" i="14"/>
  <c r="I14" i="14"/>
  <c r="I13" i="14"/>
  <c r="I12" i="14"/>
  <c r="I11" i="14"/>
  <c r="I10" i="14"/>
  <c r="I9" i="14"/>
  <c r="I8" i="14"/>
  <c r="I7" i="14"/>
  <c r="I6" i="14"/>
  <c r="I5" i="14"/>
  <c r="F6" i="14"/>
  <c r="F7" i="14"/>
  <c r="F8" i="14"/>
  <c r="F9" i="14"/>
  <c r="F10" i="14"/>
  <c r="F11" i="14"/>
  <c r="F12" i="14"/>
  <c r="F13" i="14"/>
  <c r="F14" i="14"/>
  <c r="F15" i="14"/>
  <c r="F16" i="14"/>
  <c r="F17" i="14"/>
  <c r="F18" i="14"/>
  <c r="F19" i="14"/>
  <c r="F21" i="14"/>
  <c r="F22" i="14"/>
  <c r="P22" i="14" s="1"/>
  <c r="F23" i="14"/>
  <c r="F24" i="14"/>
  <c r="F25" i="14"/>
  <c r="F26" i="14"/>
  <c r="F27" i="14"/>
  <c r="F28" i="14"/>
  <c r="F29" i="14"/>
  <c r="F31" i="14"/>
  <c r="F32" i="14"/>
  <c r="F33" i="14"/>
  <c r="F34" i="14"/>
  <c r="F35" i="14"/>
  <c r="F36" i="14"/>
  <c r="F37" i="14"/>
  <c r="F38" i="14"/>
  <c r="F5" i="14"/>
  <c r="C8" i="30" l="1"/>
  <c r="T41" i="14"/>
  <c r="C15" i="30"/>
  <c r="C7" i="30"/>
  <c r="C20" i="30"/>
  <c r="C14" i="30"/>
  <c r="C33" i="30"/>
  <c r="C6" i="30"/>
  <c r="C23" i="30"/>
  <c r="C31" i="30"/>
  <c r="C32" i="30"/>
  <c r="C13" i="30"/>
  <c r="C21" i="30"/>
  <c r="C12" i="30"/>
  <c r="C34" i="30"/>
  <c r="C25" i="30"/>
  <c r="C18" i="30"/>
  <c r="C37" i="30"/>
  <c r="C28" i="30"/>
  <c r="C19" i="30"/>
  <c r="C10" i="30"/>
  <c r="C17" i="30"/>
  <c r="C36" i="30"/>
  <c r="C27" i="30"/>
  <c r="C9" i="30"/>
  <c r="C26" i="30"/>
  <c r="T40" i="14"/>
  <c r="P20" i="14"/>
  <c r="C20" i="14" s="1"/>
  <c r="P30" i="14"/>
  <c r="C30" i="14" s="1"/>
  <c r="M37" i="42"/>
  <c r="J13" i="45"/>
  <c r="M12" i="42"/>
  <c r="J29" i="45"/>
  <c r="M21" i="42"/>
  <c r="J31" i="45"/>
  <c r="M32" i="42"/>
  <c r="M28" i="42"/>
  <c r="J5" i="45"/>
  <c r="M6" i="42"/>
  <c r="J19" i="45"/>
  <c r="L19" i="45" s="1"/>
  <c r="C19" i="45" s="1"/>
  <c r="K37" i="45"/>
  <c r="K38" i="45"/>
  <c r="L38" i="45" s="1"/>
  <c r="C38" i="45" s="1"/>
  <c r="M38" i="42"/>
  <c r="J11" i="45"/>
  <c r="M27" i="42"/>
  <c r="J10" i="45"/>
  <c r="J27" i="45"/>
  <c r="K32" i="42"/>
  <c r="L32" i="42" s="1"/>
  <c r="M10" i="42"/>
  <c r="M29" i="42"/>
  <c r="K12" i="42"/>
  <c r="L12" i="42" s="1"/>
  <c r="M18" i="42"/>
  <c r="K23" i="42"/>
  <c r="L23" i="42" s="1"/>
  <c r="M5" i="42"/>
  <c r="J18" i="45"/>
  <c r="J12" i="45"/>
  <c r="L12" i="45" s="1"/>
  <c r="C12" i="45" s="1"/>
  <c r="J21" i="45"/>
  <c r="L21" i="45" s="1"/>
  <c r="C21" i="45" s="1"/>
  <c r="K18" i="42"/>
  <c r="L18" i="42" s="1"/>
  <c r="K38" i="42"/>
  <c r="L38" i="42" s="1"/>
  <c r="J15" i="45"/>
  <c r="L15" i="45" s="1"/>
  <c r="C15" i="45" s="1"/>
  <c r="H21" i="44"/>
  <c r="I21" i="44" s="1"/>
  <c r="K11" i="45"/>
  <c r="K11" i="42"/>
  <c r="L11" i="42" s="1"/>
  <c r="K29" i="42"/>
  <c r="L29" i="42" s="1"/>
  <c r="J9" i="45"/>
  <c r="J26" i="45"/>
  <c r="J35" i="45"/>
  <c r="K9" i="45"/>
  <c r="K17" i="45"/>
  <c r="L17" i="45" s="1"/>
  <c r="C17" i="45" s="1"/>
  <c r="K26" i="45"/>
  <c r="K35" i="45"/>
  <c r="K26" i="42"/>
  <c r="L26" i="42" s="1"/>
  <c r="K27" i="45"/>
  <c r="K5" i="45"/>
  <c r="K22" i="45"/>
  <c r="L22" i="45" s="1"/>
  <c r="C22" i="45" s="1"/>
  <c r="K31" i="45"/>
  <c r="K32" i="45"/>
  <c r="L32" i="45" s="1"/>
  <c r="C32" i="45" s="1"/>
  <c r="K9" i="42"/>
  <c r="L9" i="42" s="1"/>
  <c r="K21" i="42"/>
  <c r="L21" i="42" s="1"/>
  <c r="J8" i="45"/>
  <c r="L8" i="45" s="1"/>
  <c r="C8" i="45" s="1"/>
  <c r="J16" i="45"/>
  <c r="L16" i="45" s="1"/>
  <c r="C16" i="45" s="1"/>
  <c r="J34" i="45"/>
  <c r="L34" i="45" s="1"/>
  <c r="C34" i="45" s="1"/>
  <c r="K25" i="42"/>
  <c r="L25" i="42" s="1"/>
  <c r="M15" i="42"/>
  <c r="K19" i="42"/>
  <c r="L19" i="42" s="1"/>
  <c r="K28" i="42"/>
  <c r="L28" i="42" s="1"/>
  <c r="K10" i="45"/>
  <c r="J14" i="45"/>
  <c r="K7" i="45"/>
  <c r="L7" i="45" s="1"/>
  <c r="C7" i="45" s="1"/>
  <c r="K20" i="45"/>
  <c r="J36" i="45"/>
  <c r="K18" i="45"/>
  <c r="K36" i="45"/>
  <c r="K37" i="42"/>
  <c r="L37" i="42" s="1"/>
  <c r="M33" i="42"/>
  <c r="K14" i="42"/>
  <c r="L14" i="42" s="1"/>
  <c r="K27" i="42"/>
  <c r="L27" i="42" s="1"/>
  <c r="M7" i="42"/>
  <c r="K10" i="42"/>
  <c r="L10" i="42" s="1"/>
  <c r="H20" i="42"/>
  <c r="K13" i="45"/>
  <c r="L13" i="45" s="1"/>
  <c r="C13" i="45" s="1"/>
  <c r="F30" i="42"/>
  <c r="J6" i="45"/>
  <c r="L6" i="45" s="1"/>
  <c r="C6" i="45" s="1"/>
  <c r="J23" i="45"/>
  <c r="L23" i="45" s="1"/>
  <c r="C23" i="45" s="1"/>
  <c r="K14" i="45"/>
  <c r="J20" i="44"/>
  <c r="K20" i="44" s="1"/>
  <c r="J24" i="45"/>
  <c r="L24" i="45" s="1"/>
  <c r="C24" i="45" s="1"/>
  <c r="J33" i="45"/>
  <c r="L33" i="45" s="1"/>
  <c r="C33" i="45" s="1"/>
  <c r="J28" i="45"/>
  <c r="L28" i="45" s="1"/>
  <c r="C28" i="45" s="1"/>
  <c r="J37" i="45"/>
  <c r="L37" i="45" s="1"/>
  <c r="C37" i="45" s="1"/>
  <c r="K15" i="42"/>
  <c r="L15" i="42" s="1"/>
  <c r="M35" i="42"/>
  <c r="K17" i="42"/>
  <c r="L17" i="42" s="1"/>
  <c r="J20" i="45"/>
  <c r="L30" i="45"/>
  <c r="E40" i="18"/>
  <c r="K5" i="42"/>
  <c r="L5" i="42" s="1"/>
  <c r="K13" i="42"/>
  <c r="L13" i="42" s="1"/>
  <c r="K22" i="42"/>
  <c r="L22" i="42" s="1"/>
  <c r="H20" i="44"/>
  <c r="I20" i="44" s="1"/>
  <c r="H30" i="44"/>
  <c r="I30" i="44" s="1"/>
  <c r="H20" i="18"/>
  <c r="M20" i="42"/>
  <c r="E41" i="18"/>
  <c r="K8" i="42"/>
  <c r="L8" i="42" s="1"/>
  <c r="K16" i="42"/>
  <c r="L16" i="42" s="1"/>
  <c r="K31" i="42"/>
  <c r="L31" i="42" s="1"/>
  <c r="I20" i="18"/>
  <c r="C153" i="28"/>
  <c r="C161" i="28"/>
  <c r="C164" i="28"/>
  <c r="C165" i="28"/>
  <c r="C166" i="28"/>
  <c r="C167" i="28"/>
  <c r="C162" i="28"/>
  <c r="C163" i="28"/>
  <c r="C160" i="28"/>
  <c r="C151" i="28"/>
  <c r="C159" i="28"/>
  <c r="C150" i="28"/>
  <c r="C158" i="28"/>
  <c r="C157" i="28"/>
  <c r="C156" i="28"/>
  <c r="C155" i="28"/>
  <c r="C154" i="28"/>
  <c r="C152" i="28"/>
  <c r="C11" i="30"/>
  <c r="C29" i="30"/>
  <c r="L29" i="45"/>
  <c r="C29" i="45" s="1"/>
  <c r="L25" i="45"/>
  <c r="C25" i="45" s="1"/>
  <c r="L20" i="42"/>
  <c r="L30" i="42"/>
  <c r="H5" i="42"/>
  <c r="H6" i="42"/>
  <c r="H7" i="42"/>
  <c r="H8" i="42"/>
  <c r="H9" i="42"/>
  <c r="H10" i="42"/>
  <c r="H11" i="42"/>
  <c r="H12" i="42"/>
  <c r="H13" i="42"/>
  <c r="H14" i="42"/>
  <c r="H15" i="42"/>
  <c r="H16" i="42"/>
  <c r="H17" i="42"/>
  <c r="H18" i="42"/>
  <c r="H19" i="42"/>
  <c r="H21" i="42"/>
  <c r="H22" i="42"/>
  <c r="H23" i="42"/>
  <c r="H25" i="42"/>
  <c r="H26" i="42"/>
  <c r="H27" i="42"/>
  <c r="H28" i="42"/>
  <c r="H29" i="42"/>
  <c r="H31" i="42"/>
  <c r="H32" i="42"/>
  <c r="H33" i="42"/>
  <c r="H34" i="42"/>
  <c r="H35" i="42"/>
  <c r="H37" i="42"/>
  <c r="H38" i="42"/>
  <c r="C5" i="18"/>
  <c r="J5" i="44"/>
  <c r="K5" i="44" s="1"/>
  <c r="C5" i="44" s="1"/>
  <c r="J6" i="44"/>
  <c r="K6" i="44" s="1"/>
  <c r="C6" i="44" s="1"/>
  <c r="J7" i="44"/>
  <c r="K7" i="44" s="1"/>
  <c r="C7" i="44" s="1"/>
  <c r="J8" i="44"/>
  <c r="K8" i="44" s="1"/>
  <c r="C8" i="44" s="1"/>
  <c r="J9" i="44"/>
  <c r="K9" i="44" s="1"/>
  <c r="C9" i="44" s="1"/>
  <c r="J10" i="44"/>
  <c r="K10" i="44" s="1"/>
  <c r="C10" i="44" s="1"/>
  <c r="J11" i="44"/>
  <c r="K11" i="44" s="1"/>
  <c r="C11" i="44" s="1"/>
  <c r="J12" i="44"/>
  <c r="K12" i="44" s="1"/>
  <c r="C12" i="44" s="1"/>
  <c r="J13" i="44"/>
  <c r="K13" i="44" s="1"/>
  <c r="C13" i="44" s="1"/>
  <c r="J14" i="44"/>
  <c r="K14" i="44" s="1"/>
  <c r="C14" i="44" s="1"/>
  <c r="J15" i="44"/>
  <c r="K15" i="44" s="1"/>
  <c r="C15" i="44" s="1"/>
  <c r="J16" i="44"/>
  <c r="K16" i="44" s="1"/>
  <c r="C16" i="44" s="1"/>
  <c r="J17" i="44"/>
  <c r="K17" i="44" s="1"/>
  <c r="C17" i="44" s="1"/>
  <c r="J18" i="44"/>
  <c r="K18" i="44" s="1"/>
  <c r="C18" i="44" s="1"/>
  <c r="J19" i="44"/>
  <c r="K19" i="44" s="1"/>
  <c r="C19" i="44" s="1"/>
  <c r="J21" i="44"/>
  <c r="K21" i="44" s="1"/>
  <c r="J22" i="44"/>
  <c r="K22" i="44" s="1"/>
  <c r="C22" i="44" s="1"/>
  <c r="J23" i="44"/>
  <c r="K23" i="44" s="1"/>
  <c r="C23" i="44" s="1"/>
  <c r="J24" i="44"/>
  <c r="K24" i="44" s="1"/>
  <c r="C24" i="44" s="1"/>
  <c r="J25" i="44"/>
  <c r="K25" i="44" s="1"/>
  <c r="C25" i="44" s="1"/>
  <c r="J26" i="44"/>
  <c r="K26" i="44" s="1"/>
  <c r="C26" i="44" s="1"/>
  <c r="J27" i="44"/>
  <c r="K27" i="44" s="1"/>
  <c r="C27" i="44" s="1"/>
  <c r="J28" i="44"/>
  <c r="K28" i="44" s="1"/>
  <c r="C28" i="44" s="1"/>
  <c r="J29" i="44"/>
  <c r="K29" i="44" s="1"/>
  <c r="C29" i="44" s="1"/>
  <c r="J31" i="44"/>
  <c r="K31" i="44" s="1"/>
  <c r="C31" i="44" s="1"/>
  <c r="J32" i="44"/>
  <c r="K32" i="44" s="1"/>
  <c r="C32" i="44" s="1"/>
  <c r="J33" i="44"/>
  <c r="K33" i="44" s="1"/>
  <c r="C33" i="44" s="1"/>
  <c r="J34" i="44"/>
  <c r="K34" i="44" s="1"/>
  <c r="C34" i="44" s="1"/>
  <c r="J35" i="44"/>
  <c r="K35" i="44" s="1"/>
  <c r="C35" i="44" s="1"/>
  <c r="J36" i="44"/>
  <c r="K36" i="44" s="1"/>
  <c r="C36" i="44" s="1"/>
  <c r="J37" i="44"/>
  <c r="K37" i="44" s="1"/>
  <c r="C37" i="44" s="1"/>
  <c r="J38" i="44"/>
  <c r="K38" i="44" s="1"/>
  <c r="C38" i="44" s="1"/>
  <c r="C38" i="18"/>
  <c r="C37" i="18"/>
  <c r="C36" i="18"/>
  <c r="C35" i="18"/>
  <c r="C34" i="18"/>
  <c r="C33" i="18"/>
  <c r="C32" i="18"/>
  <c r="C31" i="18"/>
  <c r="C29" i="18"/>
  <c r="C28" i="18"/>
  <c r="C27" i="18"/>
  <c r="C26" i="18"/>
  <c r="C25" i="18"/>
  <c r="C24" i="18"/>
  <c r="C23" i="18"/>
  <c r="C22" i="18"/>
  <c r="C21" i="18"/>
  <c r="C19" i="18"/>
  <c r="C18" i="18"/>
  <c r="C17" i="18"/>
  <c r="C16" i="18"/>
  <c r="C15" i="18"/>
  <c r="C14" i="18"/>
  <c r="C13" i="18"/>
  <c r="C12" i="18"/>
  <c r="C11" i="18"/>
  <c r="C10" i="18"/>
  <c r="C9" i="18"/>
  <c r="C8" i="18"/>
  <c r="C7" i="18"/>
  <c r="C6" i="18"/>
  <c r="P5" i="14"/>
  <c r="P38" i="14"/>
  <c r="P37" i="14"/>
  <c r="P36" i="14"/>
  <c r="P35" i="14"/>
  <c r="P34" i="14"/>
  <c r="P33" i="14"/>
  <c r="P32" i="14"/>
  <c r="P31" i="14"/>
  <c r="P29" i="14"/>
  <c r="P28" i="14"/>
  <c r="P27" i="14"/>
  <c r="P26" i="14"/>
  <c r="P25" i="14"/>
  <c r="P24" i="14"/>
  <c r="P23" i="14"/>
  <c r="P21" i="14"/>
  <c r="P19" i="14"/>
  <c r="P18" i="14"/>
  <c r="P17" i="14"/>
  <c r="P16" i="14"/>
  <c r="P15" i="14"/>
  <c r="P14" i="14"/>
  <c r="P13" i="14"/>
  <c r="P12" i="14"/>
  <c r="P11" i="14"/>
  <c r="P10" i="14"/>
  <c r="P9" i="14"/>
  <c r="P8" i="14"/>
  <c r="P7" i="14"/>
  <c r="P6" i="14"/>
  <c r="C6" i="14" s="1"/>
  <c r="C5" i="30"/>
  <c r="L31" i="45" l="1"/>
  <c r="C31" i="45" s="1"/>
  <c r="L11" i="45"/>
  <c r="C11" i="45" s="1"/>
  <c r="L10" i="45"/>
  <c r="C10" i="45" s="1"/>
  <c r="L5" i="45"/>
  <c r="C5" i="45" s="1"/>
  <c r="L27" i="45"/>
  <c r="C27" i="45" s="1"/>
  <c r="L18" i="45"/>
  <c r="C18" i="45" s="1"/>
  <c r="L35" i="45"/>
  <c r="C35" i="45" s="1"/>
  <c r="L9" i="45"/>
  <c r="C9" i="45" s="1"/>
  <c r="C21" i="44"/>
  <c r="L26" i="45"/>
  <c r="C26" i="45" s="1"/>
  <c r="C20" i="44"/>
  <c r="L36" i="45"/>
  <c r="C36" i="45" s="1"/>
  <c r="L14" i="45"/>
  <c r="C14" i="45" s="1"/>
  <c r="L20" i="45"/>
  <c r="C20" i="45" s="1"/>
  <c r="C20" i="18"/>
  <c r="G20" i="42"/>
  <c r="C20" i="42" s="1"/>
  <c r="G30" i="42"/>
  <c r="C7" i="14"/>
  <c r="C8" i="14"/>
  <c r="C9" i="14"/>
  <c r="C10" i="14"/>
  <c r="C11" i="14"/>
  <c r="C12" i="14"/>
  <c r="C13" i="14"/>
  <c r="C14" i="14"/>
  <c r="C15" i="14"/>
  <c r="C16" i="14"/>
  <c r="C17" i="14"/>
  <c r="C18" i="14"/>
  <c r="C19" i="14"/>
  <c r="C21" i="14"/>
  <c r="C23" i="14"/>
  <c r="C24" i="14"/>
  <c r="C25" i="14"/>
  <c r="C26" i="14"/>
  <c r="C27" i="14"/>
  <c r="C28" i="14"/>
  <c r="C29" i="14"/>
  <c r="C31" i="14"/>
  <c r="C32" i="14"/>
  <c r="C33" i="14"/>
  <c r="C34" i="14"/>
  <c r="C36" i="14"/>
  <c r="C38" i="14"/>
  <c r="C5" i="14"/>
  <c r="G5" i="42"/>
  <c r="C5" i="42" s="1"/>
  <c r="G25" i="42"/>
  <c r="C25" i="42" s="1"/>
  <c r="G26" i="42"/>
  <c r="C26" i="42" s="1"/>
  <c r="G27" i="42"/>
  <c r="C27" i="42" s="1"/>
  <c r="G28" i="42"/>
  <c r="C28" i="42" s="1"/>
  <c r="G29" i="42"/>
  <c r="C29" i="42" s="1"/>
  <c r="G31" i="42"/>
  <c r="C31" i="42" s="1"/>
  <c r="G32" i="42"/>
  <c r="C32" i="42" s="1"/>
  <c r="G33" i="42"/>
  <c r="C33" i="42" s="1"/>
  <c r="G34" i="42"/>
  <c r="C34" i="42" s="1"/>
  <c r="G35" i="42"/>
  <c r="C35" i="42" s="1"/>
  <c r="G36" i="42"/>
  <c r="G37" i="42"/>
  <c r="C37" i="42" s="1"/>
  <c r="G38" i="42"/>
  <c r="C38" i="42" s="1"/>
  <c r="G6" i="42"/>
  <c r="C6" i="42" s="1"/>
  <c r="G7" i="42"/>
  <c r="C7" i="42" s="1"/>
  <c r="G8" i="42"/>
  <c r="C8" i="42" s="1"/>
  <c r="G9" i="42"/>
  <c r="C9" i="42" s="1"/>
  <c r="G10" i="42"/>
  <c r="C10" i="42" s="1"/>
  <c r="G11" i="42"/>
  <c r="C11" i="42" s="1"/>
  <c r="G12" i="42"/>
  <c r="C12" i="42" s="1"/>
  <c r="G13" i="42"/>
  <c r="C13" i="42" s="1"/>
  <c r="G14" i="42"/>
  <c r="C14" i="42" s="1"/>
  <c r="G15" i="42"/>
  <c r="C15" i="42" s="1"/>
  <c r="G16" i="42"/>
  <c r="C16" i="42" s="1"/>
  <c r="G17" i="42"/>
  <c r="C17" i="42" s="1"/>
  <c r="G18" i="42"/>
  <c r="C18" i="42" s="1"/>
  <c r="G19" i="42"/>
  <c r="C19" i="42" s="1"/>
  <c r="G21" i="42"/>
  <c r="C21" i="42" s="1"/>
  <c r="G22" i="42"/>
  <c r="C22" i="42" s="1"/>
  <c r="G23" i="42"/>
  <c r="C23" i="42" s="1"/>
  <c r="C5" i="28"/>
  <c r="C20" i="28"/>
  <c r="C19" i="28"/>
  <c r="C18" i="28"/>
  <c r="C17" i="28"/>
  <c r="C16" i="28"/>
  <c r="C15" i="28"/>
  <c r="C14" i="28"/>
  <c r="C13" i="28"/>
  <c r="C12" i="28"/>
  <c r="C11" i="28"/>
  <c r="C10" i="28"/>
  <c r="C9" i="28"/>
  <c r="C8" i="28"/>
  <c r="C7" i="28"/>
  <c r="C6"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<sst xmlns="http://schemas.openxmlformats.org/spreadsheetml/2006/main" count="6080" uniqueCount="1169">
  <si>
    <r>
      <rPr>
        <sz val="72"/>
        <color rgb="FF000000"/>
        <rFont val="Calibri"/>
        <family val="2"/>
      </rPr>
      <t>SEA</t>
    </r>
    <r>
      <rPr>
        <sz val="72"/>
        <color rgb="FF7030A0"/>
        <rFont val="Calibri"/>
        <family val="2"/>
      </rPr>
      <t>RO</t>
    </r>
  </si>
  <si>
    <t>Sexual Exploitation and Abuse Risk Overview</t>
  </si>
  <si>
    <t>OBJECTIVES AND PROCESS</t>
  </si>
  <si>
    <t>The SEA Risk Overview summarises a wide range of already existing, quantitative information on factors that influence the risk of sexual exploitation and abuse in humanitarian response operations, and presents it in a format that can be used more easily in decision-making. It aggregates information from a range of credible, publicly available sources.
It is intended to contribute to:
- A shared and objective understanding of SEA risk and risk factors; 
- Decisions on the allocation of resources to prevent and address SEA; 
- Justify and advocate for action; 
- Monitor trends in risk over time</t>
  </si>
  <si>
    <t>BETA PUBLICATION</t>
  </si>
  <si>
    <t>SEARO is being pre-released as a 'Beta' version in order to allow use of the model under real-world conditions. We encourage feedback and suggestions on how the model could be improved to better reflect SEA risks and serve as a useful tool in understanding and addressing such risks. Please forward  your feedback and suggestions to ocha.psea@un.org</t>
  </si>
  <si>
    <t>ANALYTICAL FRAMEWORK AND METHODOLOGY</t>
  </si>
  <si>
    <t>SEA-RO is a composite indicator that measures the risk of Sexual Exploitation and Abuse in humanitarian response operations,defined as those with an active Emergency Response Plan (ERP), Flash Appeal (FA) or Humanitarian Response Plan (HRP)
The Index covers:
- Underlying laws, policies, societal norms and practices;
- The scale and intensity of crises, their effect on people and the response;
- The design and implementation of the humanitarian response operation; 
- The type and effectiveness of measures to identify, mitigate and address SEA. 
The results apply to the humanitarian response operation and not the country itself.</t>
  </si>
  <si>
    <t>DATA INTERPRETATION</t>
  </si>
  <si>
    <t>DATA SOURCES, USE AND LIMITATIONS</t>
  </si>
  <si>
    <r>
      <t xml:space="preserve">SEA-RO aggregates information from a range of credible, publicly available sources, such as UN agencies, governments and other multilateral organisations.
SEA-RO can be used to support decisions that require an understanding of the drivers of SEA risk in general terms, and to understand how these risk factors evolve over time in any given response operation. Because of significant gaps in reporting on SEA prevalence and indidence, it is not possible to validate the index. The results and rankings within the index should therefore not be taken as necessarily reflecting the true extent of SEA risk in a response operation.
</t>
    </r>
    <r>
      <rPr>
        <sz val="10"/>
        <color theme="1"/>
        <rFont val="Calibri (Body)"/>
      </rPr>
      <t>SEA-RO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t>
    </r>
  </si>
  <si>
    <t>AUTHORS</t>
  </si>
  <si>
    <t>USE and ATTRIBUTION</t>
  </si>
  <si>
    <t>DISCLAIMER</t>
  </si>
  <si>
    <t>Although best efforts are made to ensure the quality and accuracy of this product, SEARO is provided without warranty of any kind, either express or implied, including, but not limited to, any implied warranty against infringement of third parties' property rights, or merchantability, integration, satisfactory quality and fitness for a particular purpose. The publisher has no obligation to provide technical support or remedies for the data. The publisher does not represent or warrant that the data will be error free or uninterrupted, or that all non-conformities can or will be corrected, or that any data are accurate or complete, or that they are of a satisfactory technical or scientific quality. The publisher shall not be held liable for any direct or indirect, incidental, consequential or other damages, including but not limited to the loss of data, loss of profits, or any other financial loss arising from the use of this product, or inability to use it, even if the publisher is notified of the possibility of such damages. The depiction and use of geographic names and related data included in lists, tables on this spreadsheet do not necessarily imply official endorsement or acceptance by the United Nations</t>
  </si>
  <si>
    <t>FURTHER INFORMATION</t>
  </si>
  <si>
    <t xml:space="preserve">  RISK</t>
  </si>
  <si>
    <t xml:space="preserve">  ENABLING</t>
  </si>
  <si>
    <t>  Policy &amp; Societal Norms</t>
  </si>
  <si>
    <t xml:space="preserve">  Laws, Policies &amp; Practices</t>
  </si>
  <si>
    <t xml:space="preserve">  Institutions &amp; Services</t>
  </si>
  <si>
    <t xml:space="preserve">  Human Rights &amp; Inequality</t>
  </si>
  <si>
    <t xml:space="preserve">  Violence v Women &amp; Children</t>
  </si>
  <si>
    <t xml:space="preserve">  Gender Inequality</t>
  </si>
  <si>
    <t xml:space="preserve">  HUMANITARIAN</t>
  </si>
  <si>
    <t xml:space="preserve">  Crisis Scope &amp; Intensity</t>
  </si>
  <si>
    <t xml:space="preserve">  Scope &amp; Intensity</t>
  </si>
  <si>
    <t xml:space="preserve">  Crisis Severity</t>
  </si>
  <si>
    <t xml:space="preserve">  Needs Scale &amp; Complexity</t>
  </si>
  <si>
    <t xml:space="preserve">  Operation Size</t>
  </si>
  <si>
    <t xml:space="preserve">  Operation Complexity</t>
  </si>
  <si>
    <t xml:space="preserve">  OPERATIONAL</t>
  </si>
  <si>
    <t xml:space="preserve">  Response Institutions</t>
  </si>
  <si>
    <t xml:space="preserve">  Leadership &amp; Staffing</t>
  </si>
  <si>
    <t xml:space="preserve">  Organizational Culture</t>
  </si>
  <si>
    <t xml:space="preserve">  Response Modalities</t>
  </si>
  <si>
    <t xml:space="preserve">  Operational Design</t>
  </si>
  <si>
    <t xml:space="preserve">  Operational Reach</t>
  </si>
  <si>
    <t xml:space="preserve">  PROTECTIVE</t>
  </si>
  <si>
    <t xml:space="preserve">  Capacity &amp; Resources</t>
  </si>
  <si>
    <t xml:space="preserve">  Coordination &amp; Leadership</t>
  </si>
  <si>
    <t xml:space="preserve">  Funding &amp; Resources</t>
  </si>
  <si>
    <t xml:space="preserve">  Mechanisms &amp; Accountability</t>
  </si>
  <si>
    <t xml:space="preserve">  Survivor Assistance</t>
  </si>
  <si>
    <t xml:space="preserve"> Reporting &amp; Accountability</t>
  </si>
  <si>
    <t>Country</t>
  </si>
  <si>
    <t>Appeal</t>
  </si>
  <si>
    <t>ISO3</t>
  </si>
  <si>
    <t>Afghanistan</t>
  </si>
  <si>
    <t>HRP</t>
  </si>
  <si>
    <t>AFG</t>
  </si>
  <si>
    <t>Yemen</t>
  </si>
  <si>
    <t>YEM</t>
  </si>
  <si>
    <t>Sudan</t>
  </si>
  <si>
    <t>SDN</t>
  </si>
  <si>
    <t>Syria</t>
  </si>
  <si>
    <t>SYR</t>
  </si>
  <si>
    <t>Somalia</t>
  </si>
  <si>
    <t>SOM</t>
  </si>
  <si>
    <t>South Sudan</t>
  </si>
  <si>
    <t>SSD</t>
  </si>
  <si>
    <t>Ethiopia</t>
  </si>
  <si>
    <t>ETH</t>
  </si>
  <si>
    <t>DRC</t>
  </si>
  <si>
    <t>COD</t>
  </si>
  <si>
    <t>Mali</t>
  </si>
  <si>
    <t>MLI</t>
  </si>
  <si>
    <t>Chad</t>
  </si>
  <si>
    <t>TCD</t>
  </si>
  <si>
    <t>Myanmar</t>
  </si>
  <si>
    <t>MMR</t>
  </si>
  <si>
    <t>Haiti</t>
  </si>
  <si>
    <t>HTI</t>
  </si>
  <si>
    <t>Pakistan</t>
  </si>
  <si>
    <t>PAK</t>
  </si>
  <si>
    <t>CAR</t>
  </si>
  <si>
    <t>CAF</t>
  </si>
  <si>
    <t>Palestine</t>
  </si>
  <si>
    <t>PSE</t>
  </si>
  <si>
    <t>Nigeria</t>
  </si>
  <si>
    <t>NGA</t>
  </si>
  <si>
    <t>Madagascar</t>
  </si>
  <si>
    <t>FA</t>
  </si>
  <si>
    <t>MDG</t>
  </si>
  <si>
    <t>Libya</t>
  </si>
  <si>
    <t>LBY</t>
  </si>
  <si>
    <t>Kenya</t>
  </si>
  <si>
    <t>KEN</t>
  </si>
  <si>
    <t>Burundi</t>
  </si>
  <si>
    <t>BDI</t>
  </si>
  <si>
    <t>Niger</t>
  </si>
  <si>
    <t>NER</t>
  </si>
  <si>
    <t>Cameroon</t>
  </si>
  <si>
    <t>CMR</t>
  </si>
  <si>
    <t>Ukraine</t>
  </si>
  <si>
    <t>UKR</t>
  </si>
  <si>
    <t>Venezuela</t>
  </si>
  <si>
    <t>VEN</t>
  </si>
  <si>
    <t>Burkina Faso</t>
  </si>
  <si>
    <t>BFA</t>
  </si>
  <si>
    <t>Mozambique</t>
  </si>
  <si>
    <t>MOZ</t>
  </si>
  <si>
    <t>Guatemala</t>
  </si>
  <si>
    <t>GTM</t>
  </si>
  <si>
    <t>Colombia</t>
  </si>
  <si>
    <t>COL</t>
  </si>
  <si>
    <t>Malawi</t>
  </si>
  <si>
    <t>MWI</t>
  </si>
  <si>
    <t>Honduras</t>
  </si>
  <si>
    <t>HND</t>
  </si>
  <si>
    <t>Iraq</t>
  </si>
  <si>
    <t>IRQ</t>
  </si>
  <si>
    <t>Lebanon</t>
  </si>
  <si>
    <t>LBN</t>
  </si>
  <si>
    <t>El Salvador</t>
  </si>
  <si>
    <t>SLV</t>
  </si>
  <si>
    <t>World Bank: There is legislation specifically addressing domestic violence (1=yes; 0=no)</t>
  </si>
  <si>
    <t>World Bank: Is there legislation on sexual harassment in employment?</t>
  </si>
  <si>
    <t>World Bank: Criminal penalties for sexual harassment in employment?</t>
  </si>
  <si>
    <t>There is legislation specifically adressing sexual violence</t>
  </si>
  <si>
    <t>Percentage of women (15-49 years) who consider a husband to be justified in hitting or beating his wife</t>
  </si>
  <si>
    <t>MIN</t>
  </si>
  <si>
    <t> </t>
  </si>
  <si>
    <t>MAX</t>
  </si>
  <si>
    <t>COUNTRY</t>
  </si>
  <si>
    <t>INDEX</t>
  </si>
  <si>
    <t>Year</t>
  </si>
  <si>
    <t>Yes/No</t>
  </si>
  <si>
    <t>Value</t>
  </si>
  <si>
    <t>Source</t>
  </si>
  <si>
    <t>No</t>
  </si>
  <si>
    <t>Yes</t>
  </si>
  <si>
    <t>DHS</t>
  </si>
  <si>
    <t>Bangladesh</t>
  </si>
  <si>
    <t>BGD</t>
  </si>
  <si>
    <t>MICS</t>
  </si>
  <si>
    <t>2018-19</t>
  </si>
  <si>
    <t>ENS/MICS</t>
  </si>
  <si>
    <t>yes</t>
  </si>
  <si>
    <t>2015-16</t>
  </si>
  <si>
    <t>Imputed</t>
  </si>
  <si>
    <t>n/a</t>
  </si>
  <si>
    <t>2019-20</t>
  </si>
  <si>
    <t>SDHS</t>
  </si>
  <si>
    <t>SHHS</t>
  </si>
  <si>
    <t>Average if 2</t>
  </si>
  <si>
    <t>Average if 10</t>
  </si>
  <si>
    <t>Source: INFORM Severity spreadsheet / Complexity of the Crisis tab</t>
  </si>
  <si>
    <t>Corruption Perception</t>
  </si>
  <si>
    <t>Rule of Law (WGI)</t>
  </si>
  <si>
    <t>Rule of Law (BTI)</t>
  </si>
  <si>
    <t>CRISIS</t>
  </si>
  <si>
    <t>TYPE</t>
  </si>
  <si>
    <t>CRISIS ID</t>
  </si>
  <si>
    <t>Iso3</t>
  </si>
  <si>
    <t>Calc</t>
  </si>
  <si>
    <t>Complex crisis in Afghanistan</t>
  </si>
  <si>
    <t>AFG001</t>
  </si>
  <si>
    <t>Earthquake</t>
  </si>
  <si>
    <t>Drought in South-West Angola</t>
  </si>
  <si>
    <t>Food Security</t>
  </si>
  <si>
    <t>AGO002</t>
  </si>
  <si>
    <t>Angola</t>
  </si>
  <si>
    <t>AGO</t>
  </si>
  <si>
    <t>Nagorno-Karabakh Conflict in Armenia</t>
  </si>
  <si>
    <t>Conflict</t>
  </si>
  <si>
    <t>ARM002</t>
  </si>
  <si>
    <t>Armenia</t>
  </si>
  <si>
    <t>ARM</t>
  </si>
  <si>
    <t>Nagorno-Karabakh conflict in Azerbaijan</t>
  </si>
  <si>
    <t>AZE002</t>
  </si>
  <si>
    <t>Azerbaijan</t>
  </si>
  <si>
    <t>AZE</t>
  </si>
  <si>
    <t>Complex in Burundi</t>
  </si>
  <si>
    <t>BDI001</t>
  </si>
  <si>
    <t>Conflict in Burkina Faso</t>
  </si>
  <si>
    <t>BFA002</t>
  </si>
  <si>
    <t>Rohingya refugee crisis</t>
  </si>
  <si>
    <t>BGD002</t>
  </si>
  <si>
    <t>Country level Brazil</t>
  </si>
  <si>
    <t>BRA001</t>
  </si>
  <si>
    <t>Brazil</t>
  </si>
  <si>
    <t>BRA</t>
  </si>
  <si>
    <t>Venezuela displacement in Brazil</t>
  </si>
  <si>
    <t>BRA002</t>
  </si>
  <si>
    <t>Complex crisis in CAR</t>
  </si>
  <si>
    <t>CAF001</t>
  </si>
  <si>
    <t>Venezuela displacement in Chile</t>
  </si>
  <si>
    <t>CHL002</t>
  </si>
  <si>
    <t>Chile</t>
  </si>
  <si>
    <t>CHL</t>
  </si>
  <si>
    <t>Multiple crises in Cameroon</t>
  </si>
  <si>
    <t>CMR001</t>
  </si>
  <si>
    <t>CMR002</t>
  </si>
  <si>
    <t>Anglophone Crisis in Cameroon</t>
  </si>
  <si>
    <t>CMR003</t>
  </si>
  <si>
    <t>CAR refugees in Cameroon</t>
  </si>
  <si>
    <t>CMR004</t>
  </si>
  <si>
    <t>Complex crisis in DRC</t>
  </si>
  <si>
    <t>COD001</t>
  </si>
  <si>
    <t>Complex crisis in Congo</t>
  </si>
  <si>
    <t>COG001</t>
  </si>
  <si>
    <t>Congo</t>
  </si>
  <si>
    <t>COG</t>
  </si>
  <si>
    <t>Complex crisis in Colombia</t>
  </si>
  <si>
    <t>COL001</t>
  </si>
  <si>
    <t>Venezuela displacement in Colombia</t>
  </si>
  <si>
    <t>COL002</t>
  </si>
  <si>
    <t>Nicaraguan refugees in Costa Rica</t>
  </si>
  <si>
    <t>CRI002</t>
  </si>
  <si>
    <t>Costa Rica</t>
  </si>
  <si>
    <t>CRI</t>
  </si>
  <si>
    <t>Multiple crises in Djibouti</t>
  </si>
  <si>
    <t>DJI001</t>
  </si>
  <si>
    <t>Djibouti</t>
  </si>
  <si>
    <t>DJI</t>
  </si>
  <si>
    <t>Mixed migration in Djibouti</t>
  </si>
  <si>
    <t>DJI002</t>
  </si>
  <si>
    <t>Drought in Djibouti</t>
  </si>
  <si>
    <t>Drought</t>
  </si>
  <si>
    <t>DJI003</t>
  </si>
  <si>
    <t>Venezuela displacement in Dominican Republic</t>
  </si>
  <si>
    <t>DOM002</t>
  </si>
  <si>
    <t>Dominican Republic</t>
  </si>
  <si>
    <t>DOM</t>
  </si>
  <si>
    <t>Mixed migration flows in Algeria</t>
  </si>
  <si>
    <t>DZA002</t>
  </si>
  <si>
    <t>Algeria</t>
  </si>
  <si>
    <t>DZA</t>
  </si>
  <si>
    <t>Sahrawi refugees in Algeria</t>
  </si>
  <si>
    <t>DZA003</t>
  </si>
  <si>
    <t>Multiple crises in Algeria</t>
  </si>
  <si>
    <t>DZA004</t>
  </si>
  <si>
    <t>Venezuela displacement in Ecuador</t>
  </si>
  <si>
    <t>ECU002</t>
  </si>
  <si>
    <t>Ecuador</t>
  </si>
  <si>
    <t>ECU</t>
  </si>
  <si>
    <t>Egypt</t>
  </si>
  <si>
    <t>EGY</t>
  </si>
  <si>
    <t>Complex crisis in Eritrea</t>
  </si>
  <si>
    <t>ERI001</t>
  </si>
  <si>
    <t>Eritrea</t>
  </si>
  <si>
    <t>ERI</t>
  </si>
  <si>
    <t>ESP002</t>
  </si>
  <si>
    <t>Spain</t>
  </si>
  <si>
    <t>ESP</t>
  </si>
  <si>
    <t>x</t>
  </si>
  <si>
    <t>Complex crisis in Ethiopia</t>
  </si>
  <si>
    <t>ETH001</t>
  </si>
  <si>
    <t>International Displacement</t>
  </si>
  <si>
    <t>ETH003</t>
  </si>
  <si>
    <t>Northern Ethiopia Conflict</t>
  </si>
  <si>
    <t>ETH004</t>
  </si>
  <si>
    <t>Drought in Ethiopia</t>
  </si>
  <si>
    <t>ETH005</t>
  </si>
  <si>
    <t>Mixed migration flows in Greece</t>
  </si>
  <si>
    <t>GRC002</t>
  </si>
  <si>
    <t>Greece</t>
  </si>
  <si>
    <t>GRC</t>
  </si>
  <si>
    <t>Complex crisis in Guatemala</t>
  </si>
  <si>
    <t>GTM001</t>
  </si>
  <si>
    <t>Complex crisis in Honduras</t>
  </si>
  <si>
    <t>HND001</t>
  </si>
  <si>
    <t>Complex crisis in Haiti</t>
  </si>
  <si>
    <t>HTI001</t>
  </si>
  <si>
    <t>HUN002</t>
  </si>
  <si>
    <t>Hungary</t>
  </si>
  <si>
    <t>HUN</t>
  </si>
  <si>
    <t>Papua Conflict</t>
  </si>
  <si>
    <t>IDN002</t>
  </si>
  <si>
    <t>Indonesia</t>
  </si>
  <si>
    <t>IDN</t>
  </si>
  <si>
    <t>India</t>
  </si>
  <si>
    <t>IND</t>
  </si>
  <si>
    <t>Afghan Refugees in Iran</t>
  </si>
  <si>
    <t>IRN004</t>
  </si>
  <si>
    <t>Iran</t>
  </si>
  <si>
    <t>IRN</t>
  </si>
  <si>
    <t>Multiple crises in Iraq</t>
  </si>
  <si>
    <t>IRQ001</t>
  </si>
  <si>
    <t>IRQ002</t>
  </si>
  <si>
    <t>Syrian and Palestinian refugees in iraq</t>
  </si>
  <si>
    <t>IRQ003</t>
  </si>
  <si>
    <t>Mixed migration flows in Italy</t>
  </si>
  <si>
    <t>ITA002</t>
  </si>
  <si>
    <t>Italy</t>
  </si>
  <si>
    <t>ITA</t>
  </si>
  <si>
    <t>Syrian refugees in Jordan</t>
  </si>
  <si>
    <t>JOR002</t>
  </si>
  <si>
    <t>Jordan</t>
  </si>
  <si>
    <t>JOR</t>
  </si>
  <si>
    <t>KEN001</t>
  </si>
  <si>
    <t>Refugee situation in Kenya</t>
  </si>
  <si>
    <t>KEN002</t>
  </si>
  <si>
    <t>Drought in Kenya</t>
  </si>
  <si>
    <t>KEN003</t>
  </si>
  <si>
    <t>Syrian refugees in Lebanon</t>
  </si>
  <si>
    <t>LBN002</t>
  </si>
  <si>
    <t>Socioeconomic crisis in Lebanon</t>
  </si>
  <si>
    <t>LBN004</t>
  </si>
  <si>
    <t>Complex crisis in Libya</t>
  </si>
  <si>
    <t>LBY001</t>
  </si>
  <si>
    <t>Mixed migration flows in Libya</t>
  </si>
  <si>
    <t>LBY002</t>
  </si>
  <si>
    <t>Socio-economic crisis in Sri Lanka</t>
  </si>
  <si>
    <t>LKA002</t>
  </si>
  <si>
    <t>Sri Lanka</t>
  </si>
  <si>
    <t>LKA</t>
  </si>
  <si>
    <t>Lesotho</t>
  </si>
  <si>
    <t>LSO</t>
  </si>
  <si>
    <t>Mixed migration flows in Morocco</t>
  </si>
  <si>
    <t>MAR002</t>
  </si>
  <si>
    <t>Morocco</t>
  </si>
  <si>
    <t>MAR</t>
  </si>
  <si>
    <t>MDA002</t>
  </si>
  <si>
    <t>Moldova</t>
  </si>
  <si>
    <t>MDA</t>
  </si>
  <si>
    <t>Multiple crisis in Madagascar</t>
  </si>
  <si>
    <t>MDG001</t>
  </si>
  <si>
    <t>Drought in Madagascar</t>
  </si>
  <si>
    <t>MDG002</t>
  </si>
  <si>
    <t>Multiple crisis in Mexico</t>
  </si>
  <si>
    <t>MEX001</t>
  </si>
  <si>
    <t>Mexico</t>
  </si>
  <si>
    <t>MEX</t>
  </si>
  <si>
    <t>Criminal Violence in Mexico</t>
  </si>
  <si>
    <t>MEX002</t>
  </si>
  <si>
    <t>Mixed Migration in Mexico</t>
  </si>
  <si>
    <t>MEX003</t>
  </si>
  <si>
    <t>Complex crisis in Mali</t>
  </si>
  <si>
    <t>MLI001</t>
  </si>
  <si>
    <t>Multiple crises in Myanmar</t>
  </si>
  <si>
    <t>MMR001</t>
  </si>
  <si>
    <t>Rakhine Conflict</t>
  </si>
  <si>
    <t>MMR002</t>
  </si>
  <si>
    <t>Kachin and Shan Conflict</t>
  </si>
  <si>
    <t>MMR003</t>
  </si>
  <si>
    <t>Post-coup conflict in Myanmar</t>
  </si>
  <si>
    <t>MMR004</t>
  </si>
  <si>
    <t>Multiple Crises in Mozambique</t>
  </si>
  <si>
    <t>MOZ001</t>
  </si>
  <si>
    <t>Cabo Delgado Islamist Insurgency</t>
  </si>
  <si>
    <t>MOZ004</t>
  </si>
  <si>
    <t>Refugees from Mali in Mauritania</t>
  </si>
  <si>
    <t>MRT002</t>
  </si>
  <si>
    <t>Mauritania</t>
  </si>
  <si>
    <t>MRT</t>
  </si>
  <si>
    <t>Food Security in Mauritania</t>
  </si>
  <si>
    <t>MRT003</t>
  </si>
  <si>
    <t>Complex crisis in Malawi</t>
  </si>
  <si>
    <t>MWI002</t>
  </si>
  <si>
    <t>International Refugees in Malaysia</t>
  </si>
  <si>
    <t>MYS001</t>
  </si>
  <si>
    <t>Malaysia</t>
  </si>
  <si>
    <t>MYS</t>
  </si>
  <si>
    <t>Food Security Crisis in Namibia</t>
  </si>
  <si>
    <t>NAM002</t>
  </si>
  <si>
    <t>Namibia</t>
  </si>
  <si>
    <t>NAM</t>
  </si>
  <si>
    <t>Multiple crises in Niger</t>
  </si>
  <si>
    <t>NER001</t>
  </si>
  <si>
    <t>NER002</t>
  </si>
  <si>
    <t>Mali/Burkina Faso conflict</t>
  </si>
  <si>
    <t>NER003</t>
  </si>
  <si>
    <t>Nigerian Refugees</t>
  </si>
  <si>
    <t>NER004</t>
  </si>
  <si>
    <t>Complex crisis in Nigeria</t>
  </si>
  <si>
    <t>NGA001</t>
  </si>
  <si>
    <t>Middle belt conflict</t>
  </si>
  <si>
    <t>NGA003</t>
  </si>
  <si>
    <t>NGA004</t>
  </si>
  <si>
    <t>Northwest Banditry</t>
  </si>
  <si>
    <t>NGA007</t>
  </si>
  <si>
    <t>Cameroonian Refugees in Nigeria</t>
  </si>
  <si>
    <t>NGA008</t>
  </si>
  <si>
    <t>Socioeconomic crisis in Nicaragua</t>
  </si>
  <si>
    <t>NIC001</t>
  </si>
  <si>
    <t>Nicaragua</t>
  </si>
  <si>
    <t>NIC</t>
  </si>
  <si>
    <t>Complex crisis in Pakistan</t>
  </si>
  <si>
    <t>PAK001</t>
  </si>
  <si>
    <t>Kashmir conflict in Pakistan</t>
  </si>
  <si>
    <t>PAK004</t>
  </si>
  <si>
    <t>PAK005</t>
  </si>
  <si>
    <t>Venezuela displacement in Panama</t>
  </si>
  <si>
    <t>PAN002</t>
  </si>
  <si>
    <t>Panama</t>
  </si>
  <si>
    <t>PAN</t>
  </si>
  <si>
    <t>Venezuela displacement in Peru</t>
  </si>
  <si>
    <t>PER002</t>
  </si>
  <si>
    <t>Peru</t>
  </si>
  <si>
    <t>PER</t>
  </si>
  <si>
    <t>Philippines</t>
  </si>
  <si>
    <t>PHL</t>
  </si>
  <si>
    <t>Mindanao conflict</t>
  </si>
  <si>
    <t>PHL003</t>
  </si>
  <si>
    <t>POL002</t>
  </si>
  <si>
    <t>Poland</t>
  </si>
  <si>
    <t>POL</t>
  </si>
  <si>
    <t>Complex crisis in DPRK</t>
  </si>
  <si>
    <t>PRK001</t>
  </si>
  <si>
    <t>DPRK</t>
  </si>
  <si>
    <t>PRK</t>
  </si>
  <si>
    <t>Conflict in Palestine</t>
  </si>
  <si>
    <t>PSE002</t>
  </si>
  <si>
    <t>REG001</t>
  </si>
  <si>
    <t>Nigeria,Niger,Chad,Cameroon</t>
  </si>
  <si>
    <t>NGA,NER,TCD,CMR</t>
  </si>
  <si>
    <t>Venezuela Regional Crisis</t>
  </si>
  <si>
    <t>REG002</t>
  </si>
  <si>
    <t>Venezuela,Brazil,Colombia,Ecuador,Peru,Trinidad and Tobago,Chile,Dominican Republic,Panama</t>
  </si>
  <si>
    <t>VEN,BRA,COL,ECU,PER,TTO,CHL,DOM,PAN</t>
  </si>
  <si>
    <t>Syrian Regional Crisis</t>
  </si>
  <si>
    <t>REG004</t>
  </si>
  <si>
    <t>SYR,TUR,IRQ,EGY,JOR,LBN</t>
  </si>
  <si>
    <t>REG006</t>
  </si>
  <si>
    <t>TUR,GRC</t>
  </si>
  <si>
    <t>Central Mediterranean Route</t>
  </si>
  <si>
    <t>REG007</t>
  </si>
  <si>
    <t>Algeria,Tunisia,Libya,Italy</t>
  </si>
  <si>
    <t>DZA,TUN,LBY,ITA</t>
  </si>
  <si>
    <t>Western Mediterranean Route</t>
  </si>
  <si>
    <t>REG008</t>
  </si>
  <si>
    <t>Algeria,Morocco,Spain</t>
  </si>
  <si>
    <t>DZA,MAR,ESP</t>
  </si>
  <si>
    <t>Rohingya Regional Crisis</t>
  </si>
  <si>
    <t>REG011</t>
  </si>
  <si>
    <t>Bangladesh,Myanmar</t>
  </si>
  <si>
    <t>BGD,MMR</t>
  </si>
  <si>
    <t>Southern Africa Regional Food Security Crisis</t>
  </si>
  <si>
    <t>REG012</t>
  </si>
  <si>
    <t>Lesotho,Madagascar,Malawi,Namibia,Eswatini,Zambia,Zimbabwe,Tanzania</t>
  </si>
  <si>
    <t>LSO,MDG,MWI,NAM,SWZ,ZMB,ZWE,TZA</t>
  </si>
  <si>
    <t>Nagorno-Karabakh Conflict</t>
  </si>
  <si>
    <t>REG013</t>
  </si>
  <si>
    <t>Armenia,Azerbaijan</t>
  </si>
  <si>
    <t>ARM,AZE</t>
  </si>
  <si>
    <t>Eastern Africa Regional Drought Crisis</t>
  </si>
  <si>
    <t>REG014</t>
  </si>
  <si>
    <t>Ethiopia,Somalia,Kenya</t>
  </si>
  <si>
    <t>ETH,SOM,KEN</t>
  </si>
  <si>
    <t>ROU002</t>
  </si>
  <si>
    <t>Romania</t>
  </si>
  <si>
    <t>ROU</t>
  </si>
  <si>
    <t>Burundi and DRC refugees in Rwanda</t>
  </si>
  <si>
    <t>RWA002</t>
  </si>
  <si>
    <t>Rwanda</t>
  </si>
  <si>
    <t>RWA</t>
  </si>
  <si>
    <t>Complex crisis in Sudan</t>
  </si>
  <si>
    <t>SDN001</t>
  </si>
  <si>
    <t>Refugees in Sudan</t>
  </si>
  <si>
    <t>SDN005</t>
  </si>
  <si>
    <t>Drought in Senegal</t>
  </si>
  <si>
    <t>SEN002</t>
  </si>
  <si>
    <t>Senegal</t>
  </si>
  <si>
    <t>SEN</t>
  </si>
  <si>
    <t>Complex crisis in El Salvador</t>
  </si>
  <si>
    <t>SLV001</t>
  </si>
  <si>
    <t>Complex crisis in Somalia</t>
  </si>
  <si>
    <t>SOM001</t>
  </si>
  <si>
    <t>Mixed Migration Flows in Somalia</t>
  </si>
  <si>
    <t>SOM002</t>
  </si>
  <si>
    <t>Complex crisis in South Sudan</t>
  </si>
  <si>
    <t>SSD001</t>
  </si>
  <si>
    <t>SVK002</t>
  </si>
  <si>
    <t>Slovakia</t>
  </si>
  <si>
    <t>SVK</t>
  </si>
  <si>
    <t>Food Security Crisis in Eswatini</t>
  </si>
  <si>
    <t>SWZ001</t>
  </si>
  <si>
    <t>Eswatini</t>
  </si>
  <si>
    <t>SWZ</t>
  </si>
  <si>
    <t>Syrian conflict</t>
  </si>
  <si>
    <t>SYR001</t>
  </si>
  <si>
    <t>Complex crisis in Chad</t>
  </si>
  <si>
    <t>TCD001</t>
  </si>
  <si>
    <t>TCD003</t>
  </si>
  <si>
    <t>CAR refugees in Chad</t>
  </si>
  <si>
    <t>TCD004</t>
  </si>
  <si>
    <t>Darfur refugees in Chad</t>
  </si>
  <si>
    <t>TCD005</t>
  </si>
  <si>
    <t>Thailand</t>
  </si>
  <si>
    <t>THA</t>
  </si>
  <si>
    <t>Myanmar refugees in Thailand</t>
  </si>
  <si>
    <t>THA003</t>
  </si>
  <si>
    <t>Tonga</t>
  </si>
  <si>
    <t>TON</t>
  </si>
  <si>
    <t>Venezuelan refugees in Trinidad and Tobago</t>
  </si>
  <si>
    <t>TTO002</t>
  </si>
  <si>
    <t>Trinidad and Tobago</t>
  </si>
  <si>
    <t>TTO</t>
  </si>
  <si>
    <t>Mixed migration flows in Tunisia</t>
  </si>
  <si>
    <t>TUN002</t>
  </si>
  <si>
    <t>Tunisia</t>
  </si>
  <si>
    <t>TUN</t>
  </si>
  <si>
    <t>TUR001</t>
  </si>
  <si>
    <t>Turkey</t>
  </si>
  <si>
    <t>TUR</t>
  </si>
  <si>
    <t>TUR002</t>
  </si>
  <si>
    <t>TUR003</t>
  </si>
  <si>
    <t>Kurdish Conflict</t>
  </si>
  <si>
    <t>TUR004</t>
  </si>
  <si>
    <t>Multiple Crises in Tanzania</t>
  </si>
  <si>
    <t>TZA001</t>
  </si>
  <si>
    <t>Tanzania</t>
  </si>
  <si>
    <t>TZA</t>
  </si>
  <si>
    <t>International Displacement in Tanzania</t>
  </si>
  <si>
    <t>TZA002</t>
  </si>
  <si>
    <t>Food Security Crisis in North-East Tanzania</t>
  </si>
  <si>
    <t>TZA003</t>
  </si>
  <si>
    <t>Uganda</t>
  </si>
  <si>
    <t>UGA</t>
  </si>
  <si>
    <t>International Displacement in Uganda</t>
  </si>
  <si>
    <t>UGA005</t>
  </si>
  <si>
    <t>UKR002</t>
  </si>
  <si>
    <t>Complex crisis in Venezuela</t>
  </si>
  <si>
    <t>VEN001</t>
  </si>
  <si>
    <t>Conflict in Yemen</t>
  </si>
  <si>
    <t>YEM001</t>
  </si>
  <si>
    <t>Mixed migration flows in Yemen</t>
  </si>
  <si>
    <t>YEM002</t>
  </si>
  <si>
    <t>Drought in Zambia</t>
  </si>
  <si>
    <t>ZMB002</t>
  </si>
  <si>
    <t>Zambia</t>
  </si>
  <si>
    <t>ZMB</t>
  </si>
  <si>
    <t>Complex crisis in Zimbabwe</t>
  </si>
  <si>
    <t>ZWE001</t>
  </si>
  <si>
    <t>Zimbabwe</t>
  </si>
  <si>
    <t>ZWE</t>
  </si>
  <si>
    <t>UNICEF: Proportion of women aged 20-24 years who were married or in a union before age 18</t>
  </si>
  <si>
    <t xml:space="preserve">Proportion of ever-partnered women and girls subjected to physical and/or sexual violence by a current or former intimate partner in the previous 12 months, by age (%) Age: 15-49  </t>
  </si>
  <si>
    <t>Lifetime Physical and/or Sexual Intimate Partner Violence  (% of women age 15-49)</t>
  </si>
  <si>
    <t> n/a </t>
  </si>
  <si>
    <t>UNICEF</t>
  </si>
  <si>
    <t>Imputation</t>
  </si>
  <si>
    <t>Value for physical &amp; sexual violence taken from a PAPFAM report</t>
  </si>
  <si>
    <t>Lebanon:</t>
  </si>
  <si>
    <t>Data for Sexual Violence only. https://www.unwomen.org/sites/default/files/Headquarters/Attachments/Sections/Library/Publications/2017/IMAGES-MENA-Multi-Country-Report-EN.pdf</t>
  </si>
  <si>
    <t xml:space="preserve">Somalia: </t>
  </si>
  <si>
    <t>"Percentage of ever-married women aged 15-49 who have ever experienced emotional, physical or sexual violence
committed by their husband, by background characteristics" SDHS Survey https://somalia.unfpa.org/en/publications/somali-health-and-demographic-survey-2020</t>
  </si>
  <si>
    <t>Journal of Global Health Report https://www.joghr.org/article/33049-financial-dependence-and-intimate-partner-violence-ipv-among-married-syrian-refugee-women-living-in-non-camp-settings-in-jordan</t>
  </si>
  <si>
    <t>https://data.unicef.org/resources/profile-of-child-marriage-and-early-unions-in-latin-america-and-the-caribbean/</t>
  </si>
  <si>
    <t>GENDER INEQUALITY INDEX (GII) reproductive health, empowerment and the labour market)</t>
  </si>
  <si>
    <t>South Africa</t>
  </si>
  <si>
    <t>Viet Nam</t>
  </si>
  <si>
    <t>INFORM Severity: People Affected</t>
  </si>
  <si>
    <t>INFORM Severity: Conditions of People Affected</t>
  </si>
  <si>
    <t>221 OPERATIONAL SIZE</t>
  </si>
  <si>
    <t>Total funds requested in current RP</t>
  </si>
  <si>
    <t>People targeted in current RP</t>
  </si>
  <si>
    <t>SQRT of total funds requested in current RP</t>
  </si>
  <si>
    <t>SQRT of people targeted in current RP</t>
  </si>
  <si>
    <t>PERCENTRANK of total funds requested</t>
  </si>
  <si>
    <t>PERCENTRANK of people targeted</t>
  </si>
  <si>
    <t>SCORE</t>
  </si>
  <si>
    <t>Impediments to entry into country (bureaucratic and administrative)</t>
  </si>
  <si>
    <t>Restriction of movement (impediments to freedom of movement and/or administrative restrictions)</t>
  </si>
  <si>
    <t>Interference into implementation of humanitarian activities</t>
  </si>
  <si>
    <t>Violence against personnel, facilities and assets</t>
  </si>
  <si>
    <t>Denial of existence of humanitarian needs or entitlements to assistance</t>
  </si>
  <si>
    <t>Restriction and obstruction of access to services and assistance</t>
  </si>
  <si>
    <t>Ongoing insecurity/hostilities affecting humanitarian assistance</t>
  </si>
  <si>
    <t xml:space="preserve">Presence of mines and improvised explosive devices </t>
  </si>
  <si>
    <t>Physical constraints in the environment (obstacles related to terrain, climate, lack of infrastructure, etc.)</t>
  </si>
  <si>
    <t>SUM</t>
  </si>
  <si>
    <t>Bulgaria</t>
  </si>
  <si>
    <t>BGR</t>
  </si>
  <si>
    <t>Belarus</t>
  </si>
  <si>
    <t>BLR</t>
  </si>
  <si>
    <t>Czech Republic</t>
  </si>
  <si>
    <t>CZE</t>
  </si>
  <si>
    <t>Estonia</t>
  </si>
  <si>
    <t>EST</t>
  </si>
  <si>
    <t>Laos</t>
  </si>
  <si>
    <t>LAO</t>
  </si>
  <si>
    <t>Lithuania</t>
  </si>
  <si>
    <t>LTU</t>
  </si>
  <si>
    <t>Latvia</t>
  </si>
  <si>
    <t>LVA</t>
  </si>
  <si>
    <t>Papua New Guinea</t>
  </si>
  <si>
    <t>PNG</t>
  </si>
  <si>
    <t>Syria,Türkiye,Iraq,Egypt,Jordan,Lebanon</t>
  </si>
  <si>
    <t>Türkiye,Greece</t>
  </si>
  <si>
    <t>Türkiye,Syria</t>
  </si>
  <si>
    <t>TUR,SYR</t>
  </si>
  <si>
    <t>Russia</t>
  </si>
  <si>
    <t>RUS</t>
  </si>
  <si>
    <t>Timor Leste</t>
  </si>
  <si>
    <t>TLS</t>
  </si>
  <si>
    <t>Türkiye</t>
  </si>
  <si>
    <t>Locations</t>
  </si>
  <si>
    <t>Albania</t>
  </si>
  <si>
    <t>ALB</t>
  </si>
  <si>
    <t>Argentina</t>
  </si>
  <si>
    <t>ARG</t>
  </si>
  <si>
    <t>Bahamas</t>
  </si>
  <si>
    <t>BHS</t>
  </si>
  <si>
    <t>Bahrain</t>
  </si>
  <si>
    <t>BHR</t>
  </si>
  <si>
    <t>Barbados</t>
  </si>
  <si>
    <t>BRB</t>
  </si>
  <si>
    <t>Belize</t>
  </si>
  <si>
    <t>BLZ</t>
  </si>
  <si>
    <t>Benin</t>
  </si>
  <si>
    <t>BEN</t>
  </si>
  <si>
    <t>Bhutan</t>
  </si>
  <si>
    <t>BTN</t>
  </si>
  <si>
    <t>Bolivia</t>
  </si>
  <si>
    <t>BOL</t>
  </si>
  <si>
    <t>Bosnia and Herzegovina</t>
  </si>
  <si>
    <t>BIH</t>
  </si>
  <si>
    <t>Botswana</t>
  </si>
  <si>
    <t>BWA</t>
  </si>
  <si>
    <t>Cabo Verde</t>
  </si>
  <si>
    <t>CPV</t>
  </si>
  <si>
    <t>Cambodia</t>
  </si>
  <si>
    <t>KHM</t>
  </si>
  <si>
    <t>Central African Republic</t>
  </si>
  <si>
    <t>China</t>
  </si>
  <si>
    <t>CHN</t>
  </si>
  <si>
    <t>Comoros</t>
  </si>
  <si>
    <t>COM</t>
  </si>
  <si>
    <t>Cote d'Ivoire</t>
  </si>
  <si>
    <t>CIV</t>
  </si>
  <si>
    <t>Cuba</t>
  </si>
  <si>
    <t>CUB</t>
  </si>
  <si>
    <t>Cyprus</t>
  </si>
  <si>
    <t>CYP</t>
  </si>
  <si>
    <t>Democratic Republic of the Congo</t>
  </si>
  <si>
    <t>Equatorial Guinea</t>
  </si>
  <si>
    <t>GNQ</t>
  </si>
  <si>
    <t>Fiji</t>
  </si>
  <si>
    <t>FJI</t>
  </si>
  <si>
    <t>Gabon</t>
  </si>
  <si>
    <t>GAB</t>
  </si>
  <si>
    <t>Gambia (The)</t>
  </si>
  <si>
    <t>GMB</t>
  </si>
  <si>
    <t>Georgia</t>
  </si>
  <si>
    <t>GEO</t>
  </si>
  <si>
    <t>Ghana</t>
  </si>
  <si>
    <t>GHA</t>
  </si>
  <si>
    <t>Guinea</t>
  </si>
  <si>
    <t>GIN</t>
  </si>
  <si>
    <t>Guinea-Bissau</t>
  </si>
  <si>
    <t>GNB</t>
  </si>
  <si>
    <t>Guyana</t>
  </si>
  <si>
    <t>GUY</t>
  </si>
  <si>
    <t>Jamaica</t>
  </si>
  <si>
    <t>JAM</t>
  </si>
  <si>
    <t>Jerusalem</t>
  </si>
  <si>
    <t>ISR</t>
  </si>
  <si>
    <t>Kazakhstan</t>
  </si>
  <si>
    <t>KAZ</t>
  </si>
  <si>
    <t>Korea (DPR)</t>
  </si>
  <si>
    <t>Kuwait</t>
  </si>
  <si>
    <t>KWT</t>
  </si>
  <si>
    <t>Kyrgyzstan</t>
  </si>
  <si>
    <t>KGZ</t>
  </si>
  <si>
    <t>Liberia</t>
  </si>
  <si>
    <t>LBR</t>
  </si>
  <si>
    <t>Maldives</t>
  </si>
  <si>
    <t>MDV</t>
  </si>
  <si>
    <t>Marshall Islands</t>
  </si>
  <si>
    <t>MHL</t>
  </si>
  <si>
    <t>Mauritius</t>
  </si>
  <si>
    <t>MUS</t>
  </si>
  <si>
    <t>Micronesia</t>
  </si>
  <si>
    <t>FSM</t>
  </si>
  <si>
    <t>Mongolia</t>
  </si>
  <si>
    <t>MNG</t>
  </si>
  <si>
    <t>Montenegro</t>
  </si>
  <si>
    <t>MNE</t>
  </si>
  <si>
    <t>Nepal</t>
  </si>
  <si>
    <t>NPL</t>
  </si>
  <si>
    <t>North Macedonia</t>
  </si>
  <si>
    <t>MKD</t>
  </si>
  <si>
    <t>Occupied Palestinian Territory</t>
  </si>
  <si>
    <t>Other</t>
  </si>
  <si>
    <t>Palau</t>
  </si>
  <si>
    <t>PLW</t>
  </si>
  <si>
    <t>Paraguay</t>
  </si>
  <si>
    <t>PRY</t>
  </si>
  <si>
    <t>Saint Kitts and Nevis</t>
  </si>
  <si>
    <t>KNA</t>
  </si>
  <si>
    <t>Samoa</t>
  </si>
  <si>
    <t>WSM</t>
  </si>
  <si>
    <t>Sao Tome &amp; Principe</t>
  </si>
  <si>
    <t>STP</t>
  </si>
  <si>
    <t>Saudi Arabia</t>
  </si>
  <si>
    <t>SAU</t>
  </si>
  <si>
    <t>Serbia</t>
  </si>
  <si>
    <t>SRB</t>
  </si>
  <si>
    <t>Seychelles</t>
  </si>
  <si>
    <t>SYC</t>
  </si>
  <si>
    <t>Sierra Leone</t>
  </si>
  <si>
    <t>SLE</t>
  </si>
  <si>
    <t>Singapore</t>
  </si>
  <si>
    <t>SGP</t>
  </si>
  <si>
    <t>Solomon Islands</t>
  </si>
  <si>
    <t>SLB</t>
  </si>
  <si>
    <t>ZAF</t>
  </si>
  <si>
    <t>Suriname</t>
  </si>
  <si>
    <t>SUR</t>
  </si>
  <si>
    <t>Tajikistan</t>
  </si>
  <si>
    <t>TJK</t>
  </si>
  <si>
    <t>Timor-Leste</t>
  </si>
  <si>
    <t>Togo</t>
  </si>
  <si>
    <t>TGO</t>
  </si>
  <si>
    <t>Turkmenistan</t>
  </si>
  <si>
    <t>TKM</t>
  </si>
  <si>
    <t>United Arab Emirates</t>
  </si>
  <si>
    <t>ARE</t>
  </si>
  <si>
    <t>Uruguay</t>
  </si>
  <si>
    <t>URY</t>
  </si>
  <si>
    <t>Uzbekistan</t>
  </si>
  <si>
    <t>UZB</t>
  </si>
  <si>
    <t>Vanuatu</t>
  </si>
  <si>
    <t>VUT</t>
  </si>
  <si>
    <t>VNM</t>
  </si>
  <si>
    <t>Western Sahara</t>
  </si>
  <si>
    <t>ESH</t>
  </si>
  <si>
    <t>Note: Source data are not publicly available</t>
  </si>
  <si>
    <t>- source data and calculations are held on an external sheet</t>
  </si>
  <si>
    <t>- Index values are copied over to this sheet as and when they are updated in the source sheet</t>
  </si>
  <si>
    <t>Anguilla</t>
  </si>
  <si>
    <t>AIA</t>
  </si>
  <si>
    <t>Aruba</t>
  </si>
  <si>
    <t>ABW</t>
  </si>
  <si>
    <t>DMA</t>
  </si>
  <si>
    <t>Grenada</t>
  </si>
  <si>
    <t>GRD</t>
  </si>
  <si>
    <t>321 OPERATIONAL DESIGN</t>
  </si>
  <si>
    <t>Total funds requested in prior RP</t>
  </si>
  <si>
    <t>Funds requested for Cash, Food and NFI in current RP</t>
  </si>
  <si>
    <t>Funds requested for Cash, Food and NFI in prior RP</t>
  </si>
  <si>
    <t>SQRT of most recent funds for cash, food &amp; NFI</t>
  </si>
  <si>
    <t>Index of overal funds for cash, food &amp; NFI</t>
  </si>
  <si>
    <t>Relative share of cash, food &amp; NFI of overall budget</t>
  </si>
  <si>
    <t>Index of relative share of cash, food &amp; NFI</t>
  </si>
  <si>
    <t>322 OPERATIONAL REACH</t>
  </si>
  <si>
    <t>Total funds received in Prior RP</t>
  </si>
  <si>
    <t>SQRT of funds received</t>
  </si>
  <si>
    <t>Index of funds received</t>
  </si>
  <si>
    <t>Index of Funding gap (5.0 if fully funded)</t>
  </si>
  <si>
    <t>People targeted in prior RP</t>
  </si>
  <si>
    <t>People reached in prior RP</t>
  </si>
  <si>
    <t xml:space="preserve">SQRT of people reached </t>
  </si>
  <si>
    <t>Index of people reached</t>
  </si>
  <si>
    <t>Index of Target gap (5.0 if target reached)</t>
  </si>
  <si>
    <t>1) Is there a Coordinator present in the country</t>
  </si>
  <si>
    <t>2) What is their grade or grade equivalent (P1-P5)</t>
  </si>
  <si>
    <t>3) What percentage of their time is dedicated to inter-agency PSEA</t>
  </si>
  <si>
    <t>4) What type of contract are they on</t>
  </si>
  <si>
    <t>5) How long is their contract</t>
  </si>
  <si>
    <t>6) Have they received IOM PSEA training</t>
  </si>
  <si>
    <t>1) Is there a PSEA Network in place with clear TORs</t>
  </si>
  <si>
    <t>2) Is the Network formally led by co-chairs</t>
  </si>
  <si>
    <t>3) is the Network formally lead or supported by a PSEA Coordinator.</t>
  </si>
  <si>
    <t>4) Has an Action Plan been submitted to the OSCEA for (2021)</t>
  </si>
  <si>
    <t>Bangladesh*</t>
  </si>
  <si>
    <t xml:space="preserve">; ; </t>
  </si>
  <si>
    <t>412 FUNDING &amp; RESOURCES</t>
  </si>
  <si>
    <t>GBV funds requested in prior RP</t>
  </si>
  <si>
    <t>Funds requested for GBV in current RP</t>
  </si>
  <si>
    <t>Funds requested for Child Protection in current RP</t>
  </si>
  <si>
    <t>Funds requested for Child Protection in prior RP</t>
  </si>
  <si>
    <t>4.1.2.1. GBV funds requested as percent of Current (or Prior) RP</t>
  </si>
  <si>
    <t>4.1.2.1. Child Protection funds requested as percent of Current (or Prior) RP</t>
  </si>
  <si>
    <t>GBV &amp; CP funds percent</t>
  </si>
  <si>
    <t>Index</t>
  </si>
  <si>
    <t>Unknown</t>
  </si>
  <si>
    <t>Sum is calculated as:</t>
  </si>
  <si>
    <t>1) Percentage of cases that are unknown (suggesting no follow-up)</t>
  </si>
  <si>
    <t>2) If total is 0, value is set to 5.0</t>
  </si>
  <si>
    <t>Q76) Status of information-sharing protocol</t>
  </si>
  <si>
    <t>Q34) Information-sharing Protocol Complying with minimum standards</t>
  </si>
  <si>
    <t>Q49) Information on allegations has been shared in 2021</t>
  </si>
  <si>
    <t>Q.34 SEA information sharing SOPs include: What anonymised information is to be shared;By Whom should the information be shared ;How often the information should be shared ;For Which purpose the information will be shared;How to safely store information shared;</t>
  </si>
  <si>
    <t>Includes 5/5 criteria</t>
  </si>
  <si>
    <t>Includes 4/5 criteria</t>
  </si>
  <si>
    <t>Includes 3/5 criteria</t>
  </si>
  <si>
    <t>Includes 1-2/5 criteria</t>
  </si>
  <si>
    <t>Non applicable/no protocol</t>
  </si>
  <si>
    <t>Q.49. Number of allegations reported to the PSEA Network per month, please present by month (from September 2020 to March 2021):</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</si>
  <si>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</si>
  <si>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</si>
  <si>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</si>
  <si>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</si>
  <si>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</si>
  <si>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</si>
  <si>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</si>
  <si>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</si>
  <si>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Geographical</t>
  </si>
  <si>
    <t>People affected - absolute</t>
  </si>
  <si>
    <t>% of people affected on the total population exposed</t>
  </si>
  <si>
    <t>People affected - relative</t>
  </si>
  <si>
    <t>People affected</t>
  </si>
  <si>
    <t>People displaced - absolute</t>
  </si>
  <si>
    <t>People displaced - relative</t>
  </si>
  <si>
    <t>People displaced</t>
  </si>
  <si>
    <t>Fatalities - absolute</t>
  </si>
  <si>
    <t>% of fatalities on the total population affected</t>
  </si>
  <si>
    <t>Fatalities (relative)</t>
  </si>
  <si>
    <t>Crisis related fatalities</t>
  </si>
  <si>
    <t>People affected by categories</t>
  </si>
  <si>
    <t>Human</t>
  </si>
  <si>
    <t>DRIVERS</t>
  </si>
  <si>
    <t>Conflict,Violence,Displacement,Drought,Earthquake,Socio-political</t>
  </si>
  <si>
    <t>Earthquake in Herat Province</t>
  </si>
  <si>
    <t>AFG006</t>
  </si>
  <si>
    <t>Conflict,Displacement</t>
  </si>
  <si>
    <t>Violence,Displacement,Floods</t>
  </si>
  <si>
    <t>Conflict,Displacement,Violence</t>
  </si>
  <si>
    <t>Conflict,Violence,Displacement</t>
  </si>
  <si>
    <t>Floods</t>
  </si>
  <si>
    <t>Complex crisis in Bangladesh</t>
  </si>
  <si>
    <t>Socio-political,Displacement,Floods,Cyclone,Food Security,Epidemic,Other seasonal event</t>
  </si>
  <si>
    <t>BGD010</t>
  </si>
  <si>
    <t>Cyclone</t>
  </si>
  <si>
    <t>Displacement from Russia-Ukraine conflict in Bulgaria</t>
  </si>
  <si>
    <t>BGR002</t>
  </si>
  <si>
    <t>Displacement from Russia-Ukraine conflict in Belarus</t>
  </si>
  <si>
    <t>Displacement,Conflict</t>
  </si>
  <si>
    <t>BLR002</t>
  </si>
  <si>
    <t>Displacement,Floods</t>
  </si>
  <si>
    <t>Displacement</t>
  </si>
  <si>
    <t>Drought in the Amazonas</t>
  </si>
  <si>
    <t>BRA004</t>
  </si>
  <si>
    <t>Lake Chad basin crisis in Cameroon</t>
  </si>
  <si>
    <t>Conflict,Displacement,Socio-political</t>
  </si>
  <si>
    <t>Socio-political,Conflict,Violence,Floods,Displacement</t>
  </si>
  <si>
    <t>Displacement from Russia-Ukraine conflict in Czechia</t>
  </si>
  <si>
    <t>CZE002</t>
  </si>
  <si>
    <t>Displacement,Drought</t>
  </si>
  <si>
    <t>Refugees in Egypt</t>
  </si>
  <si>
    <t>EGY004</t>
  </si>
  <si>
    <t>Socio-political,Displacement</t>
  </si>
  <si>
    <t>Mixed migration flows in Spain</t>
  </si>
  <si>
    <t>Displacement from Russia-Ukraine conflict in Estonia</t>
  </si>
  <si>
    <t>EST002</t>
  </si>
  <si>
    <t>Displacement,Floods,Conflict</t>
  </si>
  <si>
    <t>Violence,Socio-political,Other seasonal event</t>
  </si>
  <si>
    <t>Earthquake,Violence,Socio-political,Other seasonal event</t>
  </si>
  <si>
    <t>Displacement from Russia-Ukraine conflict in Hungary</t>
  </si>
  <si>
    <t>Socio-political,Violence</t>
  </si>
  <si>
    <t>Socio-political</t>
  </si>
  <si>
    <t>Violence,Displacement,Socio-political,Conflict</t>
  </si>
  <si>
    <t>Conflict  in Iraq</t>
  </si>
  <si>
    <t>Conflict,Socio-political,Violence</t>
  </si>
  <si>
    <t xml:space="preserve">Multiple crisis in Kenya </t>
  </si>
  <si>
    <t>Drought,Displacement</t>
  </si>
  <si>
    <t>Socio-political,Violence,Tecnological Disaster</t>
  </si>
  <si>
    <t>Storm Daniel and floods in Libya</t>
  </si>
  <si>
    <t>Floods,Other seasonal event</t>
  </si>
  <si>
    <t>LBY003</t>
  </si>
  <si>
    <t>Multiple crises in Sri Lanka</t>
  </si>
  <si>
    <t>Socio-political,Food Security,Floods</t>
  </si>
  <si>
    <t>LKA001</t>
  </si>
  <si>
    <t>Socio-political,Food Security</t>
  </si>
  <si>
    <t>2023 Floods and Monsoon Rain</t>
  </si>
  <si>
    <t>LKA003</t>
  </si>
  <si>
    <t>Displacement from Russia-Ukraine conflict in Lithuania</t>
  </si>
  <si>
    <t>LTU002</t>
  </si>
  <si>
    <t>Displacement from Russia-Ukraine conflict in Latvia</t>
  </si>
  <si>
    <t>LVA002</t>
  </si>
  <si>
    <t>Multiple crises in Morocco</t>
  </si>
  <si>
    <t>Displacement,Earthquake</t>
  </si>
  <si>
    <t>MAR001</t>
  </si>
  <si>
    <t>Al Haouz Earthquake in Morocco</t>
  </si>
  <si>
    <t>MAR003</t>
  </si>
  <si>
    <t>DIsplacement from Russia-Ukraine conflict in Moldova</t>
  </si>
  <si>
    <t>Drought,Cyclone</t>
  </si>
  <si>
    <t>Tropical cyclone Freddy in Madagascar</t>
  </si>
  <si>
    <t>MDG008</t>
  </si>
  <si>
    <t>Violence,Displacement</t>
  </si>
  <si>
    <t>Socio-political,Conflict,Violence</t>
  </si>
  <si>
    <t>Violence,Socio-political,Conflict</t>
  </si>
  <si>
    <t>Conflict,Displacement,Cyclone</t>
  </si>
  <si>
    <t>Tropical Cyclone Freddy in Mozambique</t>
  </si>
  <si>
    <t>MOZ010</t>
  </si>
  <si>
    <t>Drought,Floods</t>
  </si>
  <si>
    <t>Drought,Socio-political,Cyclone</t>
  </si>
  <si>
    <t>Tropical Cyclone Freddy in Malawi</t>
  </si>
  <si>
    <t>MWI005</t>
  </si>
  <si>
    <t>Lake Chad basin crisis in Niger</t>
  </si>
  <si>
    <t>Violence</t>
  </si>
  <si>
    <t>Lake Chad basin crisis in Nigeria</t>
  </si>
  <si>
    <t xml:space="preserve">Floods in Pakistan </t>
  </si>
  <si>
    <t>Other seasonal event</t>
  </si>
  <si>
    <t>Conflict,Violence</t>
  </si>
  <si>
    <t>Highlands Violence</t>
  </si>
  <si>
    <t>PNG003</t>
  </si>
  <si>
    <t>Displacement from Russia-Ukraine conflict in Poland</t>
  </si>
  <si>
    <t>Socio-political,Floods,Other seasonal event,Food Security</t>
  </si>
  <si>
    <t>Conflict in West Bank</t>
  </si>
  <si>
    <t>Conflict,Displacement,Socio-political,Violence</t>
  </si>
  <si>
    <t>PSE003</t>
  </si>
  <si>
    <t>Conflict in Gaza</t>
  </si>
  <si>
    <t>PSE004</t>
  </si>
  <si>
    <t>Lake Chad basin regional crisis</t>
  </si>
  <si>
    <t xml:space="preserve">Eastern Mediterranean Route </t>
  </si>
  <si>
    <t>Turkiye / Syria earthquake</t>
  </si>
  <si>
    <t>REG015</t>
  </si>
  <si>
    <t>Displacement from Russia-Ukraine conflict in Romania</t>
  </si>
  <si>
    <t>Displacement from Russia-Ukraine conflict in Russia</t>
  </si>
  <si>
    <t>RUS002</t>
  </si>
  <si>
    <t>Displacement,Violence,Floods</t>
  </si>
  <si>
    <t>Displacement,Violence,Floods,Drought</t>
  </si>
  <si>
    <t>Conflict,Displacement,Floods,Drought</t>
  </si>
  <si>
    <t>Conflict,Floods,Displacement</t>
  </si>
  <si>
    <t>Displacement from Russia-Ukraine conflict in Slovakia</t>
  </si>
  <si>
    <t>Türkiye / Syria earthquake in Syria</t>
  </si>
  <si>
    <t>SYR002</t>
  </si>
  <si>
    <t>Lake Chad basin crisis</t>
  </si>
  <si>
    <t>Food Security Crisis in Timor-Leste</t>
  </si>
  <si>
    <t>TLS003</t>
  </si>
  <si>
    <t>Complex situation in Türkiye</t>
  </si>
  <si>
    <t>Syrian Refugees in Türkiye</t>
  </si>
  <si>
    <t>Mixed Migration Flows in Türkiye</t>
  </si>
  <si>
    <t>Türkiye / Syria earthquake in Türkiye</t>
  </si>
  <si>
    <t>TUR005</t>
  </si>
  <si>
    <t>Russia-Ukraine conflict</t>
  </si>
  <si>
    <t>Socio-political,Violence,Floods</t>
  </si>
  <si>
    <t>Socio-political,Drought</t>
  </si>
  <si>
    <t>INFORM Severity Index</t>
  </si>
  <si>
    <t>INFORM Severity category</t>
  </si>
  <si>
    <t>Trend (last 3 months)</t>
  </si>
  <si>
    <t>Reliability</t>
  </si>
  <si>
    <t>Impact of the crisis</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</si>
  <si>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</si>
  <si>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</si>
  <si>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</si>
  <si>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</si>
  <si>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</si>
  <si>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</si>
  <si>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</si>
  <si>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</si>
  <si>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</si>
  <si>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</si>
  <si>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</si>
  <si>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</si>
  <si>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</si>
  <si>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Very High</t>
  </si>
  <si>
    <t>Decreasing</t>
  </si>
  <si>
    <t>Asia</t>
  </si>
  <si>
    <t>High</t>
  </si>
  <si>
    <t>Increasing</t>
  </si>
  <si>
    <t>Medium</t>
  </si>
  <si>
    <t>Africa</t>
  </si>
  <si>
    <t>Middle east</t>
  </si>
  <si>
    <t>Stable</t>
  </si>
  <si>
    <t>-</t>
  </si>
  <si>
    <t>Low</t>
  </si>
  <si>
    <t>Europe</t>
  </si>
  <si>
    <t>Americas</t>
  </si>
  <si>
    <t>Pacific</t>
  </si>
  <si>
    <t>SOURCES</t>
  </si>
  <si>
    <t>Component</t>
  </si>
  <si>
    <t>Method</t>
  </si>
  <si>
    <t>Link</t>
  </si>
  <si>
    <t>Download</t>
  </si>
  <si>
    <t>World Bank</t>
  </si>
  <si>
    <t>https://genderdata.worldbank.org</t>
  </si>
  <si>
    <t>INFORM Severity</t>
  </si>
  <si>
    <t>https://drmkc.jrc.ec.europa.eu/inform-index/INFORM-Severity/Methodology</t>
  </si>
  <si>
    <t>https://data.unicef.org/resources/data_explorer/unicef_f/?ag=UNICEF&amp;df=GLOBAL_DATAFLOW&amp;ver=1.0&amp;dq=.PT_F_20-24_MRD_U18..&amp;startPeriod=2011&amp;endPeriod=2021</t>
  </si>
  <si>
    <t>WHO</t>
  </si>
  <si>
    <t>https://srhr.org/vaw-data</t>
  </si>
  <si>
    <t>UNDP</t>
  </si>
  <si>
    <t>https://hdr.undp.org/data-center/thematic-composite-indices/gender-inequality-index#/indicies/GII</t>
  </si>
  <si>
    <t>OCHA Humanitarian Insight</t>
  </si>
  <si>
    <t>On request</t>
  </si>
  <si>
    <t>https://hum-insight.info</t>
  </si>
  <si>
    <t>UN Office of Special Coordinator on PSEA </t>
  </si>
  <si>
    <t>https://www.un.org/preventing-sexual-exploitation-and-abuse/content/un-special-coordinator-0</t>
  </si>
  <si>
    <t>IASC PSEA Secretariat</t>
  </si>
  <si>
    <t>https://interagencystandingcommittee.org/iasc-secretariat</t>
  </si>
  <si>
    <t>UN Secretariat</t>
  </si>
  <si>
    <t>https://www.un.org/preventing-sexual-exploitation-and-abuse/content/data-allegations-un-system-wide</t>
  </si>
  <si>
    <t>Version</t>
  </si>
  <si>
    <t>Date</t>
  </si>
  <si>
    <t>Remarks</t>
  </si>
  <si>
    <t>Beta 1.0</t>
  </si>
  <si>
    <t>Beta 1.1</t>
  </si>
  <si>
    <t>Added: Kenya and Pakistan. Removed: Bangladesh. INFORM Severity updated to August. Humanitarian Insight updated to October.</t>
  </si>
  <si>
    <t>% of total population displaced on the total population affected</t>
  </si>
  <si>
    <t>2024 Dzud</t>
  </si>
  <si>
    <t>MNG004</t>
  </si>
  <si>
    <t>Karnali Earthquake</t>
  </si>
  <si>
    <t>NPL003</t>
  </si>
  <si>
    <t>Economy</t>
  </si>
  <si>
    <t>There is legislation specifically addressing domestic violence (1=yes; 0=no)</t>
  </si>
  <si>
    <t>Andorra</t>
  </si>
  <si>
    <t>AND</t>
  </si>
  <si>
    <t>American Samoa</t>
  </si>
  <si>
    <t>ASM</t>
  </si>
  <si>
    <t>Antigua and Barbuda</t>
  </si>
  <si>
    <t>ATG</t>
  </si>
  <si>
    <t>Australia</t>
  </si>
  <si>
    <t>AUS</t>
  </si>
  <si>
    <t>Austria</t>
  </si>
  <si>
    <t>AUT</t>
  </si>
  <si>
    <t>Belgium</t>
  </si>
  <si>
    <t>BEL</t>
  </si>
  <si>
    <t>Bahamas, The</t>
  </si>
  <si>
    <t>Bermuda</t>
  </si>
  <si>
    <t>BMU</t>
  </si>
  <si>
    <t>Brunei Darussalam</t>
  </si>
  <si>
    <t>BRN</t>
  </si>
  <si>
    <t>Canada</t>
  </si>
  <si>
    <t>CAN</t>
  </si>
  <si>
    <t>Switzerland</t>
  </si>
  <si>
    <t>CHE</t>
  </si>
  <si>
    <t>Channel Islands</t>
  </si>
  <si>
    <t>CHI</t>
  </si>
  <si>
    <t>Congo, Dem. Rep.</t>
  </si>
  <si>
    <t>Congo, Rep.</t>
  </si>
  <si>
    <t>Curacao</t>
  </si>
  <si>
    <t>CUW</t>
  </si>
  <si>
    <t>Cayman Islands</t>
  </si>
  <si>
    <t>CYM</t>
  </si>
  <si>
    <t>Czechia</t>
  </si>
  <si>
    <t>Germany</t>
  </si>
  <si>
    <t>DEU</t>
  </si>
  <si>
    <t>Dominica</t>
  </si>
  <si>
    <t>Denmark</t>
  </si>
  <si>
    <t>DNK</t>
  </si>
  <si>
    <t>Egypt, Arab Rep.</t>
  </si>
  <si>
    <t>Finland</t>
  </si>
  <si>
    <t>FIN</t>
  </si>
  <si>
    <t>France</t>
  </si>
  <si>
    <t>FRA</t>
  </si>
  <si>
    <t>Faroe Islands</t>
  </si>
  <si>
    <t>FRO</t>
  </si>
  <si>
    <t>Micronesia, Fed. Sts.</t>
  </si>
  <si>
    <t>United Kingdom</t>
  </si>
  <si>
    <t>GBR</t>
  </si>
  <si>
    <t>Gibraltar</t>
  </si>
  <si>
    <t>GIB</t>
  </si>
  <si>
    <t>Gambia, The</t>
  </si>
  <si>
    <t>Greenland</t>
  </si>
  <si>
    <t>GRL</t>
  </si>
  <si>
    <t>Guam</t>
  </si>
  <si>
    <t>GUM</t>
  </si>
  <si>
    <t>Hong Kong SAR, China</t>
  </si>
  <si>
    <t>HKG</t>
  </si>
  <si>
    <t>Croatia</t>
  </si>
  <si>
    <t>HRV</t>
  </si>
  <si>
    <t>Isle of Man</t>
  </si>
  <si>
    <t>IMN</t>
  </si>
  <si>
    <t>Ireland</t>
  </si>
  <si>
    <t>IRL</t>
  </si>
  <si>
    <t>Iran, Islamic Rep.</t>
  </si>
  <si>
    <t>Iceland</t>
  </si>
  <si>
    <t>ISL</t>
  </si>
  <si>
    <t>Israel</t>
  </si>
  <si>
    <t>Japan</t>
  </si>
  <si>
    <t>JPN</t>
  </si>
  <si>
    <t>Kyrgyz Republic</t>
  </si>
  <si>
    <t>Kiribati</t>
  </si>
  <si>
    <t>KIR</t>
  </si>
  <si>
    <t>St. Kitts and Nevis</t>
  </si>
  <si>
    <t>Korea, Rep.</t>
  </si>
  <si>
    <t>KOR</t>
  </si>
  <si>
    <t>Lao PDR</t>
  </si>
  <si>
    <t>St. Lucia</t>
  </si>
  <si>
    <t>LCA</t>
  </si>
  <si>
    <t>Liechtenstein</t>
  </si>
  <si>
    <t>LIE</t>
  </si>
  <si>
    <t>Luxembourg</t>
  </si>
  <si>
    <t>LUX</t>
  </si>
  <si>
    <t>Macao SAR, China</t>
  </si>
  <si>
    <t>MAC</t>
  </si>
  <si>
    <t>St. Martin (French part)</t>
  </si>
  <si>
    <t>MAF</t>
  </si>
  <si>
    <t>Monaco</t>
  </si>
  <si>
    <t>MCO</t>
  </si>
  <si>
    <t>Malta</t>
  </si>
  <si>
    <t>MLT</t>
  </si>
  <si>
    <t>Northern Mariana Islands</t>
  </si>
  <si>
    <t>MNP</t>
  </si>
  <si>
    <t>New Caledonia</t>
  </si>
  <si>
    <t>NCL</t>
  </si>
  <si>
    <t>Netherlands</t>
  </si>
  <si>
    <t>NLD</t>
  </si>
  <si>
    <t>Norway</t>
  </si>
  <si>
    <t>NOR</t>
  </si>
  <si>
    <t>Nauru</t>
  </si>
  <si>
    <t>NRU</t>
  </si>
  <si>
    <t>New Zealand</t>
  </si>
  <si>
    <t>NZL</t>
  </si>
  <si>
    <t>Oman</t>
  </si>
  <si>
    <t>OMN</t>
  </si>
  <si>
    <t>Puerto Rico</t>
  </si>
  <si>
    <t>PRI</t>
  </si>
  <si>
    <t>Korea, Dem. People's Rep.</t>
  </si>
  <si>
    <t>Portugal</t>
  </si>
  <si>
    <t>PRT</t>
  </si>
  <si>
    <t>West Bank and Gaza</t>
  </si>
  <si>
    <t>French Polynesia</t>
  </si>
  <si>
    <t>PYF</t>
  </si>
  <si>
    <t>Qatar</t>
  </si>
  <si>
    <t>QAT</t>
  </si>
  <si>
    <t>Russian Federation</t>
  </si>
  <si>
    <t>San Marino</t>
  </si>
  <si>
    <t>SMR</t>
  </si>
  <si>
    <t>Sao Tome and Principe</t>
  </si>
  <si>
    <t>Slovak Republic</t>
  </si>
  <si>
    <t>Slovenia</t>
  </si>
  <si>
    <t>SVN</t>
  </si>
  <si>
    <t>Sweden</t>
  </si>
  <si>
    <t>SWE</t>
  </si>
  <si>
    <t>Sint Maarten (Dutch part)</t>
  </si>
  <si>
    <t>SXM</t>
  </si>
  <si>
    <t>Syrian Arab Republic</t>
  </si>
  <si>
    <t>Turks and Caicos Islands</t>
  </si>
  <si>
    <t>TCA</t>
  </si>
  <si>
    <t>Turkiye</t>
  </si>
  <si>
    <t>Tuvalu</t>
  </si>
  <si>
    <t>TUV</t>
  </si>
  <si>
    <t>United States</t>
  </si>
  <si>
    <t>USA</t>
  </si>
  <si>
    <t>St. Vincent and the Grenadines</t>
  </si>
  <si>
    <t>VCT</t>
  </si>
  <si>
    <t>Venezuela, RB</t>
  </si>
  <si>
    <t>British Virgin Islands</t>
  </si>
  <si>
    <t>VGB</t>
  </si>
  <si>
    <t>Virgin Islands (U.S.)</t>
  </si>
  <si>
    <t>VIR</t>
  </si>
  <si>
    <t>Kosovo</t>
  </si>
  <si>
    <t>XKX</t>
  </si>
  <si>
    <t>Yemen, Rep.</t>
  </si>
  <si>
    <t>oPt</t>
  </si>
  <si>
    <t>Total funds requested in prior (2022) RP</t>
  </si>
  <si>
    <t>Funds requested for Child Protection in prior (2022) RP</t>
  </si>
  <si>
    <t>Total funds received in prior (2022) RP</t>
  </si>
  <si>
    <t>People targeted in prior (2022) RP</t>
  </si>
  <si>
    <t>People reached in prior (2022) RP</t>
  </si>
  <si>
    <t>Total funds requested in current (2023) RP</t>
  </si>
  <si>
    <t>Funds requested for Cash, Food and NFI in current (2023) RP</t>
  </si>
  <si>
    <t>Funds requested for GBV in current (2023) RP</t>
  </si>
  <si>
    <t>Funds requested for Child Protection in current (2023) RP</t>
  </si>
  <si>
    <t>People targeted in current (2023) RP</t>
  </si>
  <si>
    <t>Funds requested for Cash, Food and NFI in prior (2022) RP</t>
  </si>
  <si>
    <t>Funds requested for GBV in prior (2022) RP</t>
  </si>
  <si>
    <t>Updated: April 2024</t>
  </si>
  <si>
    <t>There is legislation on sexual harassment in employment (1=yes; 0=no)</t>
  </si>
  <si>
    <t>Criminal penalties or civil remedies exist for sexual harassment in employment (1=yes; 0=no)</t>
  </si>
  <si>
    <t>Women who believe a husband is justified in beating his wife (any of five reasons) (%)</t>
  </si>
  <si>
    <t>Published on behalf of the Inter Agency Standing Committee Secretariat by OCHA and UNICEF, with support from UK FCDO and USAID BHA</t>
  </si>
  <si>
    <t>INFORM Severity Index - all countries. Release: March 2024</t>
  </si>
  <si>
    <t>INFORM Severity Index: Impact of the Crisis. Release: March 2024</t>
  </si>
  <si>
    <t>Carried over from previous year</t>
  </si>
  <si>
    <t>Women who have ever experienced violence committed by their husband/partner by type of violence  (% of ever-married women ages 15-49)</t>
  </si>
  <si>
    <t>Women who have experienced violence committed by their husband/partner in the last 12 months by type of violence (% of ever-married women ages 15-49)</t>
  </si>
  <si>
    <t>Women who were first married by age 18 (% of women ages 20-24)</t>
  </si>
  <si>
    <t>Q2.1a (formerly Q.76). What is the status of development and implementation of SOPs (or similar) across the HCT for prompt, safe and survivor-centred investigations?</t>
  </si>
  <si>
    <t>Scale 1: Inter-agency SOPs are nonexistent.</t>
  </si>
  <si>
    <t>Scale 2: Inter-agency SOPs drafted but have not been endorsed by the UNCT/HCT</t>
  </si>
  <si>
    <t>Scale 3: Inter-agency SOPs have been developed and endorsed by UNCT/HCT</t>
  </si>
  <si>
    <t>Scale 4: Inter-agency SOPs are rolled out and frequently reviewed/updated</t>
  </si>
  <si>
    <t>Beta 1.2</t>
  </si>
  <si>
    <t>Beta v1.2, May 2024</t>
  </si>
  <si>
    <t>Developed on behalf of the IASC Secretariat by Craig Williams (OCHA) and Maria Del Carmen Rodriguez Rodriguez (UNICEF) with support from the UK Foreign and Commonwealth Development Office (FCDO) and US Bureau for Humanitarian Assistance (USAID BHA).</t>
  </si>
  <si>
    <t xml:space="preserve">Attribution 4.0 International (CC BY 4.0): https://creativecommons.org/licenses/by/4.0/legalcode. Reuse is authorised, provided the source is acknowledged. Citation: SEARO 2024. Sexual Exploitation and Abuse Risk Overview. SEARO is a collaboration of the Inter-Agency Standing Committee Secretariat, OCHA, UNICEF, UK FCDO and USAID BHA. </t>
  </si>
  <si>
    <t>For technical issues on the index and methodology, contact williamscv@un.org and marrodriguez@unicef.org
For other issues, contact Wendy Cue at the IASC Secretariat (cue@un.org) and Ivana Chapcakova at UNICEF (ichapcakova@unicef.org)</t>
  </si>
  <si>
    <t>BETA Version 1.2, May 2024. For information please contact williamscv@un.org and marrodriguez@unicef.org</t>
  </si>
  <si>
    <t>May 2024
Beta V1.2</t>
  </si>
  <si>
    <t>Added: Bangladesh. All sources updated where available</t>
  </si>
  <si>
    <t xml:space="preserve">Higher values in SEARO denote higher risk, with 9.9 as the highest possible value. To help visualize this, SEARO color-codes every cell by quartile, with lighter colors for values between 1.0 and 3.0  and progressively darker shades for values between 3.0 and 5.0, 5.0 and 7.0 and 7.0 and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</si>
</sst>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
    <numFmt numFmtId="167" formatCode="_(* #,##0_);_(* \(#,##0\);_(* &quot;-&quot;??_);_(@_)"/>
    <numFmt numFmtId="168" formatCode="_(* #,##0.0_);_(* \(#,##0.0\);_(* &quot;-&quot;?_);_(@_)"/>
    <numFmt numFmtId="169" formatCode="_(* #,##0.000_);_(* \(#,##0.000\);_(* &quot;-&quot;??_);_(@_)"/>
  </numFmts>
  <fonts count="117" x14ac:knownFonts="1">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72"/>
      <color theme="1"/>
      <name val="Calibri"/>
      <family val="2"/>
    </font>
    <font>
      <b/>
      <sz val="18"/>
      <color theme="1"/>
      <name val="Calibri"/>
      <family val="2"/>
    </font>
    <font>
      <sz val="12"/>
      <color theme="1"/>
      <name val="Calibri"/>
      <family val="2"/>
    </font>
    <font>
      <b/>
      <sz val="12"/>
      <color theme="1"/>
      <name val="Calibri"/>
      <family val="2"/>
    </font>
    <font>
      <b/>
      <sz val="10"/>
      <color rgb="FF323232"/>
      <name val="Arial"/>
      <family val="2"/>
    </font>
    <font>
      <sz val="10"/>
      <color rgb="FF323232"/>
      <name val="Arial"/>
      <family val="2"/>
    </font>
    <font>
      <b/>
      <sz val="8"/>
      <color rgb="FF7F7F7F"/>
      <name val="Arial"/>
      <family val="2"/>
    </font>
    <font>
      <sz val="12"/>
      <color theme="1"/>
      <name val="Calibri"/>
      <family val="2"/>
      <scheme val="minor"/>
    </font>
    <font>
      <sz val="12"/>
      <color rgb="FFFF0000"/>
      <name val="Calibri"/>
      <family val="2"/>
    </font>
    <font>
      <b/>
      <sz val="10"/>
      <color rgb="FF000000"/>
      <name val="Arial"/>
      <family val="2"/>
    </font>
    <font>
      <sz val="12"/>
      <color rgb="FF000000"/>
      <name val="Calibri"/>
      <family val="2"/>
    </font>
    <font>
      <sz val="11"/>
      <color rgb="FF444444"/>
      <name val="Calibri"/>
      <family val="2"/>
      <charset val="1"/>
    </font>
    <font>
      <sz val="10"/>
      <color rgb="FF000000"/>
      <name val="Helvetica Neue"/>
      <family val="2"/>
    </font>
    <font>
      <sz val="12"/>
      <color rgb="FF70AD47"/>
      <name val="Calibri"/>
      <family val="2"/>
      <scheme val="minor"/>
    </font>
    <font>
      <b/>
      <sz val="12"/>
      <color theme="1"/>
      <name val="Calibri"/>
      <family val="2"/>
      <scheme val="minor"/>
    </font>
    <font>
      <b/>
      <sz val="8"/>
      <color rgb="FF70AD47"/>
      <name val="Arial"/>
      <family val="2"/>
    </font>
    <font>
      <sz val="12"/>
      <color rgb="FF70AD47"/>
      <name val="Calibri"/>
      <family val="2"/>
    </font>
    <font>
      <b/>
      <sz val="8"/>
      <color rgb="FF7F7F7F"/>
      <name val="Calibri"/>
      <family val="2"/>
    </font>
    <font>
      <b/>
      <sz val="8"/>
      <color rgb="FFFFFFFF"/>
      <name val="Calibri"/>
      <family val="2"/>
    </font>
    <font>
      <sz val="12"/>
      <color rgb="FFFF0000"/>
      <name val="Calibri"/>
      <family val="2"/>
      <scheme val="minor"/>
    </font>
    <font>
      <sz val="8"/>
      <color rgb="FF000000"/>
      <name val="Calibri"/>
      <family val="2"/>
    </font>
    <font>
      <sz val="10"/>
      <color rgb="FF000000"/>
      <name val="Arial"/>
      <family val="2"/>
    </font>
    <font>
      <sz val="10"/>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0"/>
      <color rgb="FF70AD47"/>
      <name val="Calibri"/>
      <family val="2"/>
      <scheme val="minor"/>
    </font>
    <font>
      <b/>
      <sz val="10"/>
      <color theme="1"/>
      <name val="Calibri"/>
      <family val="2"/>
      <scheme val="minor"/>
    </font>
    <font>
      <sz val="10"/>
      <color rgb="FF70AD47"/>
      <name val="Calibri"/>
      <family val="2"/>
      <scheme val="minor"/>
    </font>
    <font>
      <sz val="10"/>
      <color rgb="FF000000"/>
      <name val="Calibri"/>
      <family val="2"/>
      <scheme val="minor"/>
    </font>
    <font>
      <sz val="11"/>
      <color theme="0"/>
      <name val="Calibri"/>
      <family val="2"/>
      <scheme val="minor"/>
    </font>
    <font>
      <sz val="10"/>
      <name val="Arial"/>
      <family val="2"/>
    </font>
    <font>
      <sz val="10"/>
      <color rgb="FFD0CECE"/>
      <name val="Calibri"/>
      <family val="2"/>
      <scheme val="minor"/>
    </font>
    <font>
      <sz val="10"/>
      <color rgb="FF000000"/>
      <name val="Calibri"/>
      <family val="2"/>
    </font>
    <font>
      <b/>
      <sz val="10"/>
      <color rgb="FF7F7F7F"/>
      <name val="Arial"/>
      <family val="2"/>
    </font>
    <font>
      <sz val="10"/>
      <color rgb="FF808080"/>
      <name val="Calibri"/>
      <family val="2"/>
      <scheme val="minor"/>
    </font>
    <font>
      <sz val="12"/>
      <color rgb="FF548235"/>
      <name val="Calibri"/>
      <family val="2"/>
    </font>
    <font>
      <sz val="12"/>
      <color rgb="FF548235"/>
      <name val="Calibri"/>
      <family val="2"/>
      <scheme val="minor"/>
    </font>
    <font>
      <sz val="12"/>
      <color rgb="FF000000"/>
      <name val="Calibri"/>
      <family val="2"/>
      <scheme val="minor"/>
    </font>
    <font>
      <sz val="8"/>
      <color rgb="FFA5A5A5"/>
      <name val="Arial"/>
      <family val="2"/>
    </font>
    <font>
      <sz val="8"/>
      <color rgb="FFA5A5A5"/>
      <name val="Calibri"/>
      <family val="2"/>
    </font>
    <font>
      <sz val="8"/>
      <color rgb="FFA5A5A5"/>
      <name val="Calibri"/>
      <family val="2"/>
      <scheme val="minor"/>
    </font>
    <font>
      <sz val="10"/>
      <color rgb="FFFF0000"/>
      <name val="Helvetica Neue"/>
      <family val="2"/>
    </font>
    <font>
      <b/>
      <sz val="10"/>
      <color rgb="FFA5A5A5"/>
      <name val="Arial"/>
      <family val="2"/>
    </font>
    <font>
      <b/>
      <sz val="10"/>
      <color rgb="FF548235"/>
      <name val="Arial"/>
      <family val="2"/>
    </font>
    <font>
      <sz val="10"/>
      <color rgb="FFFF0000"/>
      <name val="Arial"/>
      <family val="2"/>
    </font>
    <font>
      <sz val="10"/>
      <color rgb="FF548235"/>
      <name val="Arial"/>
      <family val="2"/>
    </font>
    <font>
      <b/>
      <sz val="12"/>
      <color rgb="FF70AD47"/>
      <name val="Calibri"/>
      <family val="2"/>
      <scheme val="minor"/>
    </font>
    <font>
      <sz val="9"/>
      <color rgb="FF000000"/>
      <name val="Arial"/>
      <family val="2"/>
    </font>
    <font>
      <b/>
      <sz val="11"/>
      <color rgb="FF548235"/>
      <name val="Calibri"/>
      <family val="2"/>
      <scheme val="minor"/>
    </font>
    <font>
      <sz val="8"/>
      <color rgb="FF7B7B7B"/>
      <name val="Arial"/>
      <family val="2"/>
    </font>
    <font>
      <sz val="8"/>
      <color rgb="FF7B7B7B"/>
      <name val="Calibri"/>
      <family val="2"/>
      <scheme val="minor"/>
    </font>
    <font>
      <sz val="11"/>
      <name val="Calibri"/>
      <family val="2"/>
      <charset val="1"/>
    </font>
    <font>
      <sz val="11"/>
      <name val="Calibri"/>
      <family val="2"/>
    </font>
    <font>
      <sz val="10"/>
      <color rgb="FF808080"/>
      <name val="Arial"/>
      <family val="2"/>
    </font>
    <font>
      <sz val="10"/>
      <color rgb="FF000000"/>
      <name val="Arial"/>
      <family val="2"/>
      <charset val="1"/>
    </font>
    <font>
      <sz val="10"/>
      <name val="Arial"/>
      <family val="2"/>
      <charset val="1"/>
    </font>
    <font>
      <sz val="10"/>
      <color theme="1"/>
      <name val="Arial"/>
      <family val="2"/>
    </font>
    <font>
      <sz val="11"/>
      <color theme="1"/>
      <name val="Arial"/>
      <family val="2"/>
    </font>
    <font>
      <b/>
      <sz val="10"/>
      <color rgb="FF000000"/>
      <name val="Calibri"/>
      <family val="2"/>
    </font>
    <font>
      <b/>
      <sz val="10"/>
      <color rgb="FFFFFFFF"/>
      <name val="Calibri"/>
      <family val="2"/>
    </font>
    <font>
      <sz val="8"/>
      <color rgb="FF000000"/>
      <name val="Arial"/>
      <family val="2"/>
    </font>
    <font>
      <b/>
      <sz val="10"/>
      <color rgb="FFFFFFFF"/>
      <name val="Arial"/>
      <family val="2"/>
    </font>
    <font>
      <sz val="10"/>
      <color theme="1"/>
      <name val="Calibri"/>
      <family val="2"/>
    </font>
    <font>
      <b/>
      <sz val="8"/>
      <color rgb="FF000000"/>
      <name val="Arial"/>
      <family val="2"/>
    </font>
    <font>
      <sz val="10"/>
      <color rgb="FF000000"/>
      <name val="Calibri"/>
      <family val="2"/>
      <charset val="1"/>
    </font>
    <font>
      <sz val="9"/>
      <color rgb="FF000000"/>
      <name val="Calibri"/>
      <family val="2"/>
      <charset val="1"/>
    </font>
    <font>
      <sz val="9"/>
      <color rgb="FF000000"/>
      <name val="Arial"/>
      <family val="2"/>
      <charset val="1"/>
    </font>
    <font>
      <sz val="9"/>
      <color theme="1"/>
      <name val="Calibri"/>
      <family val="2"/>
      <scheme val="minor"/>
    </font>
    <font>
      <sz val="10"/>
      <color rgb="FF7F7F7F"/>
      <name val="Arial"/>
      <family val="2"/>
    </font>
    <font>
      <u/>
      <sz val="12"/>
      <color theme="10"/>
      <name val="Calibri"/>
      <family val="2"/>
      <scheme val="minor"/>
    </font>
    <font>
      <sz val="12"/>
      <color rgb="FF000000"/>
      <name val="Calibri"/>
      <family val="2"/>
      <charset val="1"/>
    </font>
    <font>
      <sz val="10"/>
      <color rgb="FF4472C4"/>
      <name val="Helvetica Neue"/>
      <family val="2"/>
    </font>
    <font>
      <sz val="9"/>
      <color rgb="FF548235"/>
      <name val="Arial"/>
      <family val="2"/>
    </font>
    <font>
      <sz val="9"/>
      <color theme="1"/>
      <name val="Arial"/>
      <family val="2"/>
    </font>
    <font>
      <sz val="8"/>
      <color rgb="FF808080"/>
      <name val="Calibri"/>
      <family val="2"/>
      <charset val="1"/>
    </font>
    <font>
      <sz val="10"/>
      <color rgb="FFFFFFFF"/>
      <name val="Arial"/>
      <family val="2"/>
    </font>
    <font>
      <sz val="14"/>
      <color rgb="FF000000"/>
      <name val="Helvetica"/>
      <family val="2"/>
    </font>
    <font>
      <sz val="7"/>
      <color rgb="FF000000"/>
      <name val="Arial"/>
      <family val="2"/>
    </font>
    <font>
      <sz val="10"/>
      <color rgb="FF000000"/>
      <name val="Helvetica"/>
      <family val="2"/>
    </font>
    <font>
      <sz val="8"/>
      <color rgb="FF000000"/>
      <name val="Helvetica"/>
      <family val="2"/>
    </font>
    <font>
      <sz val="14"/>
      <color rgb="FF000000"/>
      <name val="Arial"/>
      <family val="2"/>
    </font>
    <font>
      <sz val="8"/>
      <color rgb="FF000000"/>
      <name val="Arial"/>
      <family val="2"/>
      <charset val="1"/>
    </font>
    <font>
      <sz val="8"/>
      <color rgb="FF000000"/>
      <name val="Calibri"/>
      <family val="2"/>
      <scheme val="minor"/>
    </font>
    <font>
      <sz val="12"/>
      <color rgb="FFFFFFFF"/>
      <name val="Calibri"/>
      <family val="2"/>
      <scheme val="minor"/>
    </font>
    <font>
      <sz val="8"/>
      <color theme="1"/>
      <name val="Arial"/>
      <family val="2"/>
    </font>
    <font>
      <sz val="8"/>
      <color theme="1"/>
      <name val="Calibri"/>
      <family val="2"/>
    </font>
    <font>
      <sz val="72"/>
      <color rgb="FF000000"/>
      <name val="Calibri"/>
      <family val="2"/>
    </font>
    <font>
      <sz val="72"/>
      <color rgb="FF7030A0"/>
      <name val="Calibri"/>
      <family val="2"/>
    </font>
    <font>
      <sz val="8"/>
      <color rgb="FF808080"/>
      <name val="Calibri"/>
      <family val="2"/>
      <scheme val="minor"/>
    </font>
    <font>
      <sz val="10"/>
      <color rgb="FF4472C4"/>
      <name val="Arial"/>
      <family val="2"/>
    </font>
    <font>
      <sz val="14"/>
      <color theme="1"/>
      <name val="Calibri"/>
      <family val="2"/>
    </font>
    <font>
      <sz val="10"/>
      <color theme="1"/>
      <name val="Calibri"/>
      <family val="2"/>
      <scheme val="minor"/>
    </font>
    <font>
      <sz val="10"/>
      <color theme="1"/>
      <name val="Calibri (Body)"/>
    </font>
    <font>
      <b/>
      <sz val="12"/>
      <color theme="1"/>
      <name val="Calibri"/>
      <family val="2"/>
      <scheme val="minor"/>
    </font>
    <font>
      <sz val="11"/>
      <color rgb="FF000000"/>
      <name val="Calibri"/>
      <family val="2"/>
    </font>
    <font>
      <sz val="11"/>
      <color rgb="FF000000"/>
      <name val="Calibri"/>
      <family val="2"/>
      <scheme val="minor"/>
    </font>
    <font>
      <sz val="11"/>
      <color rgb="FF000000"/>
      <name val="Calibri"/>
      <family val="2"/>
      <charset val="1"/>
    </font>
    <font>
      <sz val="9"/>
      <color rgb="FF000000"/>
      <name val="Calibri"/>
      <family val="2"/>
      <scheme val="minor"/>
    </font>
    <font>
      <sz val="12"/>
      <color theme="1"/>
      <name val="Helvetica"/>
      <family val="2"/>
    </font>
    <font>
      <b/>
      <sz val="10"/>
      <color rgb="FF000000"/>
      <name val="Helvetica Neue"/>
      <family val="2"/>
    </font>
    <font>
      <sz val="8"/>
      <name val="Arial"/>
      <family val="2"/>
    </font>
    <font>
      <sz val="11"/>
      <color rgb="FFC00000"/>
      <name val="Calibri"/>
      <family val="2"/>
      <charset val="1"/>
    </font>
    <font>
      <b/>
      <sz val="9"/>
      <color rgb="FF000000"/>
      <name val="Arial"/>
      <family val="2"/>
      <charset val="1"/>
    </font>
    <font>
      <b/>
      <sz val="9"/>
      <color rgb="FF000000"/>
      <name val="Calibri"/>
      <family val="2"/>
      <scheme val="minor"/>
    </font>
    <font>
      <sz val="10"/>
      <name val="Calibri"/>
      <family val="2"/>
      <scheme val="minor"/>
    </font>
    <font>
      <b/>
      <sz val="10"/>
      <name val="Calibri"/>
      <family val="2"/>
      <scheme val="minor"/>
    </font>
    <font>
      <sz val="12"/>
      <name val="Calibri"/>
      <family val="2"/>
      <scheme val="minor"/>
    </font>
    <font>
      <sz val="13"/>
      <color rgb="FF0C0D0E"/>
      <name val="Menlo"/>
      <family val="2"/>
    </font>
    <font>
      <sz val="10"/>
      <name val="Calibri"/>
      <family val="2"/>
    </font>
    <font>
      <sz val="12"/>
      <color theme="5" tint="0.39997558519241921"/>
      <name val="Calibri"/>
      <family val="2"/>
      <scheme val="minor"/>
    </font>
  </fonts>
  <fills count="25">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FFFFFF"/>
        <bgColor indexed="64"/>
      </patternFill>
    </fill>
    <fill>
      <patternFill patternType="solid">
        <fgColor rgb="FFC65911"/>
        <bgColor indexed="64"/>
      </patternFill>
    </fill>
    <fill>
      <patternFill patternType="solid">
        <fgColor rgb="FFFCE4D6"/>
        <bgColor indexed="64"/>
      </patternFill>
    </fill>
    <fill>
      <patternFill patternType="solid">
        <fgColor rgb="FF548235"/>
        <bgColor indexed="64"/>
      </patternFill>
    </fill>
    <fill>
      <patternFill patternType="solid">
        <fgColor rgb="FFA9D08E"/>
        <bgColor indexed="64"/>
      </patternFill>
    </fill>
    <fill>
      <patternFill patternType="solid">
        <fgColor rgb="FFE2EFDA"/>
        <bgColor indexed="64"/>
      </patternFill>
    </fill>
    <fill>
      <patternFill patternType="solid">
        <fgColor rgb="FFF2F2F2"/>
        <bgColor indexed="64"/>
      </patternFill>
    </fill>
    <fill>
      <patternFill patternType="solid">
        <fgColor rgb="FFBF8F00"/>
        <bgColor indexed="64"/>
      </patternFill>
    </fill>
    <fill>
      <patternFill patternType="solid">
        <fgColor rgb="FFE7E6E6"/>
        <bgColor indexed="64"/>
      </patternFill>
    </fill>
    <fill>
      <patternFill patternType="solid">
        <fgColor rgb="FF2F75B5"/>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5"/>
      </patternFill>
    </fill>
    <fill>
      <patternFill patternType="solid">
        <fgColor indexed="30"/>
      </patternFill>
    </fill>
    <fill>
      <patternFill patternType="solid">
        <fgColor rgb="FFC9C9C9"/>
        <bgColor indexed="64"/>
      </patternFill>
    </fill>
    <fill>
      <patternFill patternType="solid">
        <fgColor rgb="FFC6E0B4"/>
        <bgColor indexed="64"/>
      </patternFill>
    </fill>
    <fill>
      <patternFill patternType="solid">
        <fgColor rgb="FFD9D9D9"/>
        <bgColor indexed="64"/>
      </patternFill>
    </fill>
    <fill>
      <patternFill patternType="solid">
        <fgColor rgb="FF70AD47"/>
        <bgColor indexed="64"/>
      </patternFill>
    </fill>
    <fill>
      <patternFill patternType="solid">
        <fgColor rgb="FFD6DCE4"/>
        <bgColor indexed="64"/>
      </patternFill>
    </fill>
    <fill>
      <patternFill patternType="solid">
        <fgColor theme="5" tint="0.79998168889431442"/>
        <bgColor indexed="64"/>
      </patternFill>
    </fill>
  </fills>
  <borders count="12">
    <border>
      <left/>
      <right/>
      <top/>
      <bottom/>
      <diagonal/>
    </border>
    <border>
      <left/>
      <right/>
      <top/>
      <bottom/>
      <diagonal/>
    </border>
    <border>
      <left/>
      <right/>
      <top/>
      <bottom style="medium">
        <color rgb="FF000000"/>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right/>
      <top style="thin">
        <color rgb="FF000000"/>
      </top>
      <bottom/>
      <diagonal/>
    </border>
    <border>
      <left/>
      <right/>
      <top/>
      <bottom style="thin">
        <color rgb="FF000000"/>
      </bottom>
      <diagonal/>
    </border>
    <border>
      <left style="thick">
        <color rgb="FFFFFFFF"/>
      </left>
      <right/>
      <top/>
      <bottom/>
      <diagonal/>
    </border>
    <border>
      <left style="thick">
        <color rgb="FFFFFFFF"/>
      </left>
      <right/>
      <top/>
      <bottom style="medium">
        <color rgb="FF000000"/>
      </bottom>
      <diagonal/>
    </border>
    <border>
      <left/>
      <right style="thick">
        <color rgb="FFFFFFFF"/>
      </right>
      <top/>
      <bottom/>
      <diagonal/>
    </border>
  </borders>
  <cellStyleXfs count="7">
    <xf numFmtId="0" fontId="0" fillId="0" borderId="0"/>
    <xf numFmtId="43" fontId="13" fillId="0" borderId="0" applyFont="0" applyFill="0" applyBorder="0" applyAlignment="0" applyProtection="0"/>
    <xf numFmtId="0" fontId="5" fillId="17" borderId="0" applyNumberFormat="0" applyBorder="0" applyAlignment="0" applyProtection="0"/>
    <xf numFmtId="0" fontId="29" fillId="0" borderId="1"/>
    <xf numFmtId="0" fontId="36" fillId="18" borderId="1"/>
    <xf numFmtId="0" fontId="76" fillId="0" borderId="0" applyNumberFormat="0" applyFill="0" applyBorder="0" applyAlignment="0" applyProtection="0"/>
    <xf numFmtId="0" fontId="37" fillId="0" borderId="1" applyNumberFormat="0" applyFont="0" applyFill="0" applyBorder="0" applyAlignment="0" applyProtection="0"/>
  </cellStyleXfs>
  <cellXfs count="380">
    <xf numFmtId="0" fontId="0" fillId="0" borderId="0" xfId="0"/>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vertical="top" wrapText="1"/>
    </xf>
    <xf numFmtId="0" fontId="9" fillId="0" borderId="0" xfId="0" applyFont="1"/>
    <xf numFmtId="0" fontId="9" fillId="0" borderId="0" xfId="0" applyFont="1" applyAlignment="1">
      <alignment wrapText="1"/>
    </xf>
    <xf numFmtId="0" fontId="8" fillId="0" borderId="0" xfId="0" applyFont="1"/>
    <xf numFmtId="0" fontId="12" fillId="3" borderId="1" xfId="0" applyFont="1" applyFill="1" applyBorder="1" applyAlignment="1">
      <alignment horizontal="left"/>
    </xf>
    <xf numFmtId="0" fontId="12" fillId="3" borderId="1" xfId="0" applyFont="1" applyFill="1" applyBorder="1"/>
    <xf numFmtId="0" fontId="10" fillId="3" borderId="1" xfId="0" applyFont="1" applyFill="1" applyBorder="1" applyAlignment="1">
      <alignment horizontal="left"/>
    </xf>
    <xf numFmtId="0" fontId="10" fillId="3" borderId="1" xfId="0" applyFont="1" applyFill="1" applyBorder="1"/>
    <xf numFmtId="0" fontId="11" fillId="2" borderId="1" xfId="0" applyFont="1" applyFill="1" applyBorder="1" applyAlignment="1">
      <alignment horizontal="left"/>
    </xf>
    <xf numFmtId="0" fontId="12" fillId="3" borderId="0" xfId="0" applyFont="1" applyFill="1" applyAlignment="1">
      <alignment horizontal="left"/>
    </xf>
    <xf numFmtId="0" fontId="12" fillId="3" borderId="0" xfId="0" applyFont="1" applyFill="1"/>
    <xf numFmtId="0" fontId="10" fillId="3" borderId="0" xfId="0" applyFont="1" applyFill="1" applyAlignment="1">
      <alignment horizontal="left"/>
    </xf>
    <xf numFmtId="0" fontId="10" fillId="3" borderId="0" xfId="0" applyFont="1" applyFill="1"/>
    <xf numFmtId="0" fontId="0" fillId="0" borderId="1" xfId="0" applyBorder="1"/>
    <xf numFmtId="0" fontId="13" fillId="0" borderId="1" xfId="0" applyFont="1" applyBorder="1"/>
    <xf numFmtId="0" fontId="0" fillId="0" borderId="0" xfId="0" applyAlignment="1">
      <alignment horizontal="right"/>
    </xf>
    <xf numFmtId="0" fontId="0" fillId="4" borderId="0" xfId="0" applyFill="1"/>
    <xf numFmtId="3" fontId="0" fillId="0" borderId="0" xfId="0" applyNumberFormat="1" applyAlignment="1">
      <alignment horizontal="right"/>
    </xf>
    <xf numFmtId="0" fontId="20" fillId="0" borderId="0" xfId="0" applyFont="1"/>
    <xf numFmtId="0" fontId="12" fillId="3" borderId="1" xfId="0" applyFont="1" applyFill="1" applyBorder="1" applyAlignment="1">
      <alignment horizontal="right"/>
    </xf>
    <xf numFmtId="0" fontId="0" fillId="0" borderId="0" xfId="0" applyAlignment="1">
      <alignment horizontal="center"/>
    </xf>
    <xf numFmtId="0" fontId="23" fillId="4" borderId="1" xfId="0" applyFont="1" applyFill="1" applyBorder="1"/>
    <xf numFmtId="43" fontId="0" fillId="0" borderId="0" xfId="0" applyNumberFormat="1" applyAlignment="1">
      <alignment horizontal="right"/>
    </xf>
    <xf numFmtId="0" fontId="0" fillId="0" borderId="1" xfId="0" applyBorder="1" applyAlignment="1">
      <alignment horizontal="right"/>
    </xf>
    <xf numFmtId="43" fontId="0" fillId="0" borderId="1" xfId="0" applyNumberFormat="1" applyBorder="1" applyAlignment="1">
      <alignment horizontal="right"/>
    </xf>
    <xf numFmtId="0" fontId="21" fillId="3" borderId="1" xfId="0" applyFont="1" applyFill="1" applyBorder="1" applyAlignment="1">
      <alignment horizontal="right"/>
    </xf>
    <xf numFmtId="164" fontId="0" fillId="0" borderId="0" xfId="0" applyNumberFormat="1" applyAlignment="1">
      <alignment vertical="center"/>
    </xf>
    <xf numFmtId="0" fontId="28" fillId="0" borderId="0" xfId="0" applyFont="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xf>
    <xf numFmtId="0" fontId="31" fillId="15" borderId="0" xfId="0" applyFont="1" applyFill="1" applyAlignment="1">
      <alignment vertical="top"/>
    </xf>
    <xf numFmtId="43" fontId="31" fillId="15" borderId="0" xfId="1" applyFont="1" applyFill="1" applyAlignment="1">
      <alignment horizontal="center"/>
    </xf>
    <xf numFmtId="0" fontId="31" fillId="0" borderId="0" xfId="0" applyFont="1"/>
    <xf numFmtId="3" fontId="0" fillId="0" borderId="1" xfId="0" applyNumberFormat="1" applyBorder="1" applyAlignment="1">
      <alignment horizontal="right"/>
    </xf>
    <xf numFmtId="0" fontId="39" fillId="4" borderId="1" xfId="0" applyFont="1" applyFill="1" applyBorder="1"/>
    <xf numFmtId="0" fontId="28" fillId="0" borderId="1" xfId="0" applyFont="1" applyBorder="1"/>
    <xf numFmtId="0" fontId="28" fillId="4" borderId="1" xfId="0" applyFont="1" applyFill="1" applyBorder="1"/>
    <xf numFmtId="0" fontId="18" fillId="0" borderId="1" xfId="0" applyFont="1" applyBorder="1"/>
    <xf numFmtId="0" fontId="16" fillId="0" borderId="1" xfId="0" applyFont="1" applyBorder="1" applyAlignment="1">
      <alignment horizontal="right"/>
    </xf>
    <xf numFmtId="164" fontId="18" fillId="0" borderId="1" xfId="0" applyNumberFormat="1" applyFont="1" applyBorder="1" applyAlignment="1">
      <alignment horizontal="right"/>
    </xf>
    <xf numFmtId="164" fontId="0" fillId="0" borderId="1" xfId="0" applyNumberFormat="1" applyBorder="1" applyAlignment="1">
      <alignment horizontal="right"/>
    </xf>
    <xf numFmtId="0" fontId="22" fillId="9" borderId="1" xfId="0" applyFont="1" applyFill="1" applyBorder="1" applyAlignment="1">
      <alignment horizontal="right"/>
    </xf>
    <xf numFmtId="0" fontId="16" fillId="0" borderId="1" xfId="0" applyFont="1" applyBorder="1" applyAlignment="1">
      <alignment horizontal="left"/>
    </xf>
    <xf numFmtId="164" fontId="42" fillId="20" borderId="1" xfId="0" applyNumberFormat="1" applyFont="1" applyFill="1" applyBorder="1" applyAlignment="1">
      <alignment horizontal="right"/>
    </xf>
    <xf numFmtId="164" fontId="43" fillId="8" borderId="1" xfId="0" applyNumberFormat="1" applyFont="1" applyFill="1" applyBorder="1" applyAlignment="1">
      <alignment horizontal="right"/>
    </xf>
    <xf numFmtId="0" fontId="44" fillId="0" borderId="1" xfId="0" applyFont="1" applyBorder="1"/>
    <xf numFmtId="0" fontId="47" fillId="0" borderId="1" xfId="0" applyFont="1" applyBorder="1"/>
    <xf numFmtId="0" fontId="11" fillId="0" borderId="1" xfId="0" applyFont="1" applyBorder="1" applyAlignment="1">
      <alignment horizontal="left"/>
    </xf>
    <xf numFmtId="0" fontId="18" fillId="0" borderId="1" xfId="0" applyFont="1" applyBorder="1" applyAlignment="1">
      <alignment horizontal="left"/>
    </xf>
    <xf numFmtId="0" fontId="0" fillId="0" borderId="1" xfId="0" applyBorder="1" applyAlignment="1">
      <alignment horizontal="left"/>
    </xf>
    <xf numFmtId="0" fontId="28" fillId="0" borderId="1" xfId="0" applyFont="1" applyBorder="1" applyAlignment="1">
      <alignment horizontal="right"/>
    </xf>
    <xf numFmtId="164" fontId="18" fillId="0" borderId="1" xfId="0" applyNumberFormat="1" applyFont="1" applyBorder="1"/>
    <xf numFmtId="0" fontId="14" fillId="6" borderId="1" xfId="0" applyFont="1" applyFill="1" applyBorder="1"/>
    <xf numFmtId="0" fontId="48" fillId="6" borderId="1" xfId="0" applyFont="1" applyFill="1" applyBorder="1"/>
    <xf numFmtId="164" fontId="48" fillId="6" borderId="1" xfId="0" applyNumberFormat="1" applyFont="1" applyFill="1" applyBorder="1" applyAlignment="1">
      <alignment horizontal="right"/>
    </xf>
    <xf numFmtId="168" fontId="22" fillId="9" borderId="1" xfId="0" applyNumberFormat="1" applyFont="1" applyFill="1" applyBorder="1" applyAlignment="1">
      <alignment horizontal="right"/>
    </xf>
    <xf numFmtId="0" fontId="45" fillId="12" borderId="1" xfId="0" applyFont="1" applyFill="1" applyBorder="1"/>
    <xf numFmtId="0" fontId="46" fillId="12" borderId="1" xfId="0" applyFont="1" applyFill="1" applyBorder="1"/>
    <xf numFmtId="0" fontId="46" fillId="12" borderId="1" xfId="0" applyFont="1" applyFill="1" applyBorder="1" applyAlignment="1">
      <alignment horizontal="left"/>
    </xf>
    <xf numFmtId="0" fontId="46" fillId="12" borderId="1" xfId="0" applyFont="1" applyFill="1" applyBorder="1" applyAlignment="1">
      <alignment horizontal="right"/>
    </xf>
    <xf numFmtId="0" fontId="15" fillId="12" borderId="1" xfId="0" applyFont="1" applyFill="1" applyBorder="1"/>
    <xf numFmtId="0" fontId="40" fillId="3" borderId="1" xfId="0" applyFont="1" applyFill="1" applyBorder="1" applyAlignment="1">
      <alignment horizontal="right"/>
    </xf>
    <xf numFmtId="0" fontId="49" fillId="3" borderId="1" xfId="0" applyFont="1" applyFill="1" applyBorder="1" applyAlignment="1">
      <alignment horizontal="right"/>
    </xf>
    <xf numFmtId="0" fontId="50" fillId="3" borderId="1" xfId="0" applyFont="1" applyFill="1" applyBorder="1" applyAlignment="1">
      <alignment horizontal="right"/>
    </xf>
    <xf numFmtId="0" fontId="49" fillId="3" borderId="1" xfId="0" applyFont="1" applyFill="1" applyBorder="1" applyAlignment="1">
      <alignment horizontal="left"/>
    </xf>
    <xf numFmtId="0" fontId="15" fillId="12" borderId="1" xfId="0" applyFont="1" applyFill="1" applyBorder="1" applyAlignment="1">
      <alignment horizontal="left"/>
    </xf>
    <xf numFmtId="0" fontId="15" fillId="12" borderId="1" xfId="0" applyFont="1" applyFill="1" applyBorder="1" applyAlignment="1">
      <alignment horizontal="right"/>
    </xf>
    <xf numFmtId="0" fontId="50" fillId="12" borderId="1" xfId="0" applyFont="1" applyFill="1" applyBorder="1" applyAlignment="1">
      <alignment horizontal="right"/>
    </xf>
    <xf numFmtId="0" fontId="27" fillId="0" borderId="1" xfId="0" applyFont="1" applyBorder="1"/>
    <xf numFmtId="0" fontId="51" fillId="6" borderId="1" xfId="0" applyFont="1" applyFill="1" applyBorder="1"/>
    <xf numFmtId="0" fontId="20" fillId="0" borderId="1" xfId="0" applyFont="1" applyBorder="1"/>
    <xf numFmtId="4" fontId="19" fillId="20" borderId="0" xfId="0" applyNumberFormat="1" applyFont="1" applyFill="1" applyAlignment="1">
      <alignment horizontal="right"/>
    </xf>
    <xf numFmtId="4" fontId="43" fillId="8" borderId="0" xfId="0" applyNumberFormat="1" applyFont="1" applyFill="1" applyAlignment="1">
      <alignment horizontal="right"/>
    </xf>
    <xf numFmtId="0" fontId="33" fillId="0" borderId="0" xfId="0" applyFont="1" applyAlignment="1">
      <alignment horizontal="right" wrapText="1"/>
    </xf>
    <xf numFmtId="0" fontId="32" fillId="0" borderId="0" xfId="0" applyFont="1" applyAlignment="1">
      <alignment horizontal="right" wrapText="1"/>
    </xf>
    <xf numFmtId="0" fontId="34" fillId="0" borderId="0" xfId="0" applyFont="1" applyAlignment="1">
      <alignment horizontal="right" wrapText="1"/>
    </xf>
    <xf numFmtId="3" fontId="19" fillId="9" borderId="0" xfId="0" applyNumberFormat="1" applyFont="1" applyFill="1" applyAlignment="1">
      <alignment horizontal="right"/>
    </xf>
    <xf numFmtId="3" fontId="19" fillId="9" borderId="1" xfId="0" applyNumberFormat="1" applyFont="1" applyFill="1" applyBorder="1" applyAlignment="1">
      <alignment horizontal="right"/>
    </xf>
    <xf numFmtId="0" fontId="54" fillId="0" borderId="0" xfId="0" applyFont="1"/>
    <xf numFmtId="0" fontId="30" fillId="12" borderId="0" xfId="0" applyFont="1" applyFill="1" applyAlignment="1">
      <alignment horizontal="center" vertical="top"/>
    </xf>
    <xf numFmtId="43" fontId="43" fillId="16" borderId="0" xfId="0" applyNumberFormat="1" applyFont="1" applyFill="1"/>
    <xf numFmtId="0" fontId="55" fillId="8" borderId="0" xfId="0" applyFont="1" applyFill="1" applyAlignment="1">
      <alignment horizontal="center" vertical="top"/>
    </xf>
    <xf numFmtId="0" fontId="56" fillId="3" borderId="0" xfId="0" applyFont="1" applyFill="1" applyAlignment="1">
      <alignment horizontal="left"/>
    </xf>
    <xf numFmtId="0" fontId="56" fillId="3" borderId="0" xfId="0" applyFont="1" applyFill="1"/>
    <xf numFmtId="0" fontId="57" fillId="12" borderId="0" xfId="0" applyFont="1" applyFill="1" applyAlignment="1">
      <alignment horizontal="right"/>
    </xf>
    <xf numFmtId="3" fontId="57" fillId="12" borderId="0" xfId="0" applyNumberFormat="1" applyFont="1" applyFill="1" applyAlignment="1">
      <alignment horizontal="right"/>
    </xf>
    <xf numFmtId="4" fontId="57" fillId="12" borderId="0" xfId="0" applyNumberFormat="1" applyFont="1" applyFill="1" applyAlignment="1">
      <alignment horizontal="right"/>
    </xf>
    <xf numFmtId="0" fontId="57" fillId="0" borderId="0" xfId="0" applyFont="1"/>
    <xf numFmtId="0" fontId="0" fillId="10" borderId="0" xfId="0" applyFill="1"/>
    <xf numFmtId="164" fontId="0" fillId="10" borderId="0" xfId="0" applyNumberFormat="1" applyFill="1" applyAlignment="1">
      <alignment vertical="center"/>
    </xf>
    <xf numFmtId="0" fontId="10" fillId="10" borderId="1" xfId="0" applyFont="1" applyFill="1" applyBorder="1" applyAlignment="1">
      <alignment horizontal="left"/>
    </xf>
    <xf numFmtId="0" fontId="10" fillId="10" borderId="1" xfId="0" applyFont="1" applyFill="1" applyBorder="1"/>
    <xf numFmtId="0" fontId="28" fillId="0" borderId="0" xfId="0" applyFont="1" applyAlignment="1">
      <alignment vertical="top" wrapText="1"/>
    </xf>
    <xf numFmtId="164" fontId="0" fillId="0" borderId="0" xfId="0" applyNumberFormat="1" applyAlignment="1">
      <alignment horizontal="center" vertical="center"/>
    </xf>
    <xf numFmtId="0" fontId="0" fillId="10" borderId="0" xfId="0" applyFill="1" applyAlignment="1">
      <alignment horizontal="center"/>
    </xf>
    <xf numFmtId="164" fontId="0" fillId="10" borderId="0" xfId="0" applyNumberFormat="1" applyFill="1" applyAlignment="1">
      <alignment horizontal="center" vertical="center"/>
    </xf>
    <xf numFmtId="164" fontId="50" fillId="8" borderId="1" xfId="0" applyNumberFormat="1" applyFont="1" applyFill="1" applyBorder="1" applyAlignment="1">
      <alignment horizontal="right" vertical="center"/>
    </xf>
    <xf numFmtId="164" fontId="52" fillId="8" borderId="1" xfId="0" applyNumberFormat="1" applyFont="1" applyFill="1" applyBorder="1" applyAlignment="1">
      <alignment vertical="center"/>
    </xf>
    <xf numFmtId="43" fontId="19" fillId="9" borderId="0" xfId="0" applyNumberFormat="1" applyFont="1" applyFill="1" applyAlignment="1">
      <alignment horizontal="right"/>
    </xf>
    <xf numFmtId="43" fontId="19" fillId="20" borderId="0" xfId="0" applyNumberFormat="1" applyFont="1" applyFill="1" applyAlignment="1">
      <alignment horizontal="right"/>
    </xf>
    <xf numFmtId="43" fontId="57" fillId="12" borderId="0" xfId="0" applyNumberFormat="1" applyFont="1" applyFill="1" applyAlignment="1">
      <alignment horizontal="right"/>
    </xf>
    <xf numFmtId="0" fontId="20" fillId="10" borderId="0" xfId="0" applyFont="1" applyFill="1" applyAlignment="1">
      <alignment horizontal="right"/>
    </xf>
    <xf numFmtId="0" fontId="53" fillId="10" borderId="0" xfId="0" applyFont="1" applyFill="1" applyAlignment="1">
      <alignment horizontal="right"/>
    </xf>
    <xf numFmtId="0" fontId="10" fillId="3" borderId="0" xfId="0" applyFont="1" applyFill="1" applyAlignment="1">
      <alignment horizontal="right"/>
    </xf>
    <xf numFmtId="0" fontId="10" fillId="9" borderId="0" xfId="0" applyFont="1" applyFill="1" applyAlignment="1">
      <alignment horizontal="right"/>
    </xf>
    <xf numFmtId="0" fontId="58" fillId="9" borderId="1" xfId="0" applyFont="1" applyFill="1" applyBorder="1" applyAlignment="1">
      <alignment horizontal="right"/>
    </xf>
    <xf numFmtId="164" fontId="12" fillId="3" borderId="0" xfId="0" applyNumberFormat="1" applyFont="1" applyFill="1" applyAlignment="1">
      <alignment horizontal="left"/>
    </xf>
    <xf numFmtId="0" fontId="10" fillId="20" borderId="0" xfId="0" applyFont="1" applyFill="1" applyAlignment="1">
      <alignment horizontal="right"/>
    </xf>
    <xf numFmtId="164" fontId="58" fillId="20" borderId="1" xfId="0" applyNumberFormat="1" applyFont="1" applyFill="1" applyBorder="1" applyAlignment="1">
      <alignment horizontal="right"/>
    </xf>
    <xf numFmtId="0" fontId="17" fillId="0" borderId="0" xfId="0" applyFont="1"/>
    <xf numFmtId="0" fontId="28" fillId="0" borderId="0" xfId="0" applyFont="1" applyAlignment="1">
      <alignment horizontal="left" wrapText="1"/>
    </xf>
    <xf numFmtId="164" fontId="58" fillId="9" borderId="1" xfId="0" applyNumberFormat="1" applyFont="1" applyFill="1" applyBorder="1" applyAlignment="1">
      <alignment horizontal="right"/>
    </xf>
    <xf numFmtId="0" fontId="24" fillId="4" borderId="1" xfId="0" applyFont="1" applyFill="1" applyBorder="1" applyAlignment="1">
      <alignment horizontal="center"/>
    </xf>
    <xf numFmtId="0" fontId="60" fillId="0" borderId="1" xfId="0" applyFont="1" applyBorder="1"/>
    <xf numFmtId="0" fontId="61" fillId="10" borderId="1" xfId="0" applyFont="1" applyFill="1" applyBorder="1"/>
    <xf numFmtId="0" fontId="63" fillId="0" borderId="1" xfId="0" applyFont="1" applyBorder="1"/>
    <xf numFmtId="0" fontId="40" fillId="3" borderId="1" xfId="0" applyFont="1" applyFill="1" applyBorder="1" applyAlignment="1">
      <alignment horizontal="left"/>
    </xf>
    <xf numFmtId="0" fontId="40" fillId="3" borderId="1" xfId="0" applyFont="1" applyFill="1" applyBorder="1"/>
    <xf numFmtId="0" fontId="40" fillId="8" borderId="1" xfId="0" applyFont="1" applyFill="1" applyBorder="1" applyAlignment="1">
      <alignment horizontal="right"/>
    </xf>
    <xf numFmtId="43" fontId="27" fillId="8" borderId="1" xfId="0" applyNumberFormat="1" applyFont="1" applyFill="1" applyBorder="1"/>
    <xf numFmtId="0" fontId="64" fillId="0" borderId="1" xfId="0" applyFont="1" applyBorder="1"/>
    <xf numFmtId="0" fontId="0" fillId="0" borderId="0" xfId="0" quotePrefix="1"/>
    <xf numFmtId="0" fontId="0" fillId="6" borderId="0" xfId="0" applyFill="1"/>
    <xf numFmtId="0" fontId="58" fillId="6" borderId="1" xfId="0" applyFont="1" applyFill="1" applyBorder="1" applyAlignment="1">
      <alignment horizontal="right"/>
    </xf>
    <xf numFmtId="0" fontId="0" fillId="6" borderId="1" xfId="0" applyFill="1" applyBorder="1" applyAlignment="1">
      <alignment horizontal="right"/>
    </xf>
    <xf numFmtId="0" fontId="59" fillId="6" borderId="1" xfId="0" applyFont="1" applyFill="1" applyBorder="1"/>
    <xf numFmtId="0" fontId="65" fillId="4" borderId="2" xfId="0" applyFont="1" applyFill="1" applyBorder="1" applyAlignment="1">
      <alignment horizontal="left"/>
    </xf>
    <xf numFmtId="0" fontId="65" fillId="4" borderId="2" xfId="0" applyFont="1" applyFill="1" applyBorder="1"/>
    <xf numFmtId="0" fontId="65" fillId="7" borderId="1" xfId="0" applyFont="1" applyFill="1" applyBorder="1" applyAlignment="1">
      <alignment horizontal="center"/>
    </xf>
    <xf numFmtId="0" fontId="65" fillId="13" borderId="1" xfId="0" applyFont="1" applyFill="1" applyBorder="1" applyAlignment="1">
      <alignment horizontal="center"/>
    </xf>
    <xf numFmtId="0" fontId="28" fillId="0" borderId="0" xfId="0" applyFont="1"/>
    <xf numFmtId="0" fontId="28" fillId="10" borderId="1" xfId="0" applyFont="1" applyFill="1" applyBorder="1" applyAlignment="1">
      <alignment horizontal="center"/>
    </xf>
    <xf numFmtId="165" fontId="39" fillId="14" borderId="3" xfId="0" applyNumberFormat="1" applyFont="1" applyFill="1" applyBorder="1" applyAlignment="1">
      <alignment horizontal="center" vertical="center"/>
    </xf>
    <xf numFmtId="0" fontId="23" fillId="4" borderId="1" xfId="0" applyFont="1" applyFill="1" applyBorder="1" applyAlignment="1">
      <alignment horizontal="left"/>
    </xf>
    <xf numFmtId="0" fontId="28" fillId="10" borderId="1" xfId="0" applyFont="1" applyFill="1" applyBorder="1"/>
    <xf numFmtId="0" fontId="66" fillId="5" borderId="1" xfId="0" applyFont="1" applyFill="1" applyBorder="1" applyAlignment="1">
      <alignment horizontal="center"/>
    </xf>
    <xf numFmtId="0" fontId="65" fillId="5" borderId="1" xfId="0" applyFont="1" applyFill="1" applyBorder="1" applyAlignment="1">
      <alignment horizontal="center"/>
    </xf>
    <xf numFmtId="0" fontId="66" fillId="11" borderId="1" xfId="0" applyFont="1" applyFill="1" applyBorder="1" applyAlignment="1">
      <alignment horizontal="center"/>
    </xf>
    <xf numFmtId="0" fontId="65" fillId="11" borderId="1" xfId="0" applyFont="1" applyFill="1" applyBorder="1" applyAlignment="1">
      <alignment horizontal="center"/>
    </xf>
    <xf numFmtId="0" fontId="66" fillId="7" borderId="1" xfId="0" applyFont="1" applyFill="1" applyBorder="1" applyAlignment="1">
      <alignment horizontal="center"/>
    </xf>
    <xf numFmtId="0" fontId="66" fillId="13" borderId="1" xfId="0" applyFont="1" applyFill="1" applyBorder="1" applyAlignment="1">
      <alignment horizontal="center"/>
    </xf>
    <xf numFmtId="0" fontId="71" fillId="10" borderId="1" xfId="0" applyFont="1" applyFill="1" applyBorder="1"/>
    <xf numFmtId="0" fontId="73" fillId="4" borderId="1" xfId="0" applyFont="1" applyFill="1" applyBorder="1" applyAlignment="1">
      <alignment wrapText="1"/>
    </xf>
    <xf numFmtId="0" fontId="28" fillId="0" borderId="1" xfId="0" applyFont="1" applyBorder="1" applyAlignment="1">
      <alignment horizontal="right" wrapText="1"/>
    </xf>
    <xf numFmtId="0" fontId="31" fillId="0" borderId="1" xfId="0" applyFont="1" applyBorder="1" applyAlignment="1">
      <alignment wrapText="1"/>
    </xf>
    <xf numFmtId="0" fontId="38" fillId="10" borderId="1" xfId="0" applyFont="1" applyFill="1" applyBorder="1"/>
    <xf numFmtId="166" fontId="37" fillId="10" borderId="1" xfId="4" applyNumberFormat="1" applyFont="1" applyFill="1" applyAlignment="1">
      <alignment horizontal="center"/>
    </xf>
    <xf numFmtId="0" fontId="38" fillId="0" borderId="1" xfId="0" applyFont="1" applyBorder="1"/>
    <xf numFmtId="0" fontId="33" fillId="19" borderId="1" xfId="0" applyFont="1" applyFill="1" applyBorder="1"/>
    <xf numFmtId="0" fontId="0" fillId="12" borderId="1" xfId="0" applyFill="1" applyBorder="1"/>
    <xf numFmtId="0" fontId="28" fillId="4" borderId="0" xfId="0" applyFont="1" applyFill="1"/>
    <xf numFmtId="0" fontId="0" fillId="4" borderId="1" xfId="0" applyFill="1" applyBorder="1" applyAlignment="1">
      <alignment horizontal="center"/>
    </xf>
    <xf numFmtId="0" fontId="70" fillId="21" borderId="1" xfId="0" applyFont="1" applyFill="1" applyBorder="1" applyAlignment="1" applyProtection="1">
      <alignment horizontal="center" textRotation="90" wrapText="1"/>
      <protection locked="0"/>
    </xf>
    <xf numFmtId="43" fontId="75" fillId="3" borderId="1" xfId="0" applyNumberFormat="1" applyFont="1" applyFill="1" applyBorder="1" applyAlignment="1">
      <alignment horizontal="right"/>
    </xf>
    <xf numFmtId="0" fontId="75" fillId="3" borderId="1" xfId="0" applyFont="1" applyFill="1" applyBorder="1"/>
    <xf numFmtId="43" fontId="63" fillId="0" borderId="1" xfId="0" applyNumberFormat="1" applyFont="1" applyBorder="1"/>
    <xf numFmtId="0" fontId="0" fillId="4" borderId="1" xfId="0" applyFill="1" applyBorder="1"/>
    <xf numFmtId="0" fontId="41" fillId="0" borderId="1" xfId="0" applyFont="1" applyBorder="1"/>
    <xf numFmtId="0" fontId="28" fillId="4" borderId="1" xfId="0" applyFont="1" applyFill="1" applyBorder="1" applyAlignment="1">
      <alignment horizontal="right" wrapText="1"/>
    </xf>
    <xf numFmtId="0" fontId="31" fillId="4" borderId="1" xfId="0" applyFont="1" applyFill="1" applyBorder="1" applyAlignment="1">
      <alignment wrapText="1"/>
    </xf>
    <xf numFmtId="0" fontId="41" fillId="4" borderId="1" xfId="0" applyFont="1" applyFill="1" applyBorder="1"/>
    <xf numFmtId="0" fontId="33" fillId="4" borderId="1" xfId="0" applyFont="1" applyFill="1" applyBorder="1"/>
    <xf numFmtId="0" fontId="38" fillId="4" borderId="1" xfId="0" applyFont="1" applyFill="1" applyBorder="1"/>
    <xf numFmtId="165" fontId="37" fillId="4" borderId="1" xfId="2" applyNumberFormat="1" applyFont="1" applyFill="1" applyBorder="1" applyAlignment="1">
      <alignment horizontal="center" vertical="center"/>
    </xf>
    <xf numFmtId="165" fontId="0" fillId="4" borderId="1" xfId="0" applyNumberFormat="1" applyFill="1" applyBorder="1"/>
    <xf numFmtId="165" fontId="20" fillId="0" borderId="1" xfId="0" applyNumberFormat="1" applyFont="1" applyBorder="1"/>
    <xf numFmtId="165" fontId="37" fillId="4" borderId="1" xfId="2" applyNumberFormat="1" applyFont="1" applyFill="1" applyBorder="1" applyAlignment="1">
      <alignment horizontal="left" vertical="center"/>
    </xf>
    <xf numFmtId="0" fontId="74" fillId="4" borderId="1" xfId="0" applyFont="1" applyFill="1" applyBorder="1" applyAlignment="1">
      <alignment wrapText="1"/>
    </xf>
    <xf numFmtId="0" fontId="76" fillId="0" borderId="1" xfId="5" applyBorder="1"/>
    <xf numFmtId="167" fontId="0" fillId="0" borderId="1" xfId="0" applyNumberFormat="1" applyBorder="1"/>
    <xf numFmtId="165" fontId="46" fillId="12" borderId="1" xfId="0" applyNumberFormat="1" applyFont="1" applyFill="1" applyBorder="1" applyAlignment="1">
      <alignment horizontal="right"/>
    </xf>
    <xf numFmtId="0" fontId="77" fillId="0" borderId="1" xfId="0" applyFont="1" applyBorder="1"/>
    <xf numFmtId="0" fontId="76" fillId="0" borderId="1" xfId="5" applyBorder="1" applyAlignment="1"/>
    <xf numFmtId="0" fontId="77" fillId="0" borderId="1" xfId="0" applyFont="1" applyBorder="1" applyAlignment="1">
      <alignment horizontal="right"/>
    </xf>
    <xf numFmtId="164" fontId="12" fillId="3" borderId="1" xfId="0" applyNumberFormat="1" applyFont="1" applyFill="1" applyBorder="1" applyAlignment="1">
      <alignment horizontal="right"/>
    </xf>
    <xf numFmtId="4" fontId="0" fillId="0" borderId="1" xfId="0" applyNumberFormat="1" applyBorder="1" applyAlignment="1">
      <alignment horizontal="right" wrapText="1"/>
    </xf>
    <xf numFmtId="0" fontId="16" fillId="0" borderId="1" xfId="0" applyFont="1" applyBorder="1"/>
    <xf numFmtId="167" fontId="19" fillId="9" borderId="0" xfId="0" applyNumberFormat="1" applyFont="1" applyFill="1" applyAlignment="1">
      <alignment horizontal="right"/>
    </xf>
    <xf numFmtId="4" fontId="25" fillId="8" borderId="0" xfId="0" applyNumberFormat="1" applyFont="1" applyFill="1" applyAlignment="1">
      <alignment horizontal="right"/>
    </xf>
    <xf numFmtId="4" fontId="0" fillId="0" borderId="1" xfId="0" applyNumberFormat="1" applyBorder="1" applyAlignment="1">
      <alignment horizontal="right"/>
    </xf>
    <xf numFmtId="0" fontId="80" fillId="0" borderId="1" xfId="0" applyFont="1" applyBorder="1"/>
    <xf numFmtId="0" fontId="73" fillId="4" borderId="1" xfId="0" applyFont="1" applyFill="1" applyBorder="1" applyAlignment="1">
      <alignment horizontal="right" wrapText="1"/>
    </xf>
    <xf numFmtId="0" fontId="32" fillId="4" borderId="1" xfId="0" applyFont="1" applyFill="1" applyBorder="1" applyAlignment="1">
      <alignment horizontal="center" wrapText="1"/>
    </xf>
    <xf numFmtId="0" fontId="53" fillId="10" borderId="1" xfId="0" applyFont="1" applyFill="1" applyBorder="1" applyAlignment="1">
      <alignment horizontal="center"/>
    </xf>
    <xf numFmtId="4" fontId="79" fillId="8" borderId="1" xfId="0" applyNumberFormat="1" applyFont="1" applyFill="1" applyBorder="1" applyAlignment="1">
      <alignment horizontal="center"/>
    </xf>
    <xf numFmtId="0" fontId="60" fillId="0" borderId="1" xfId="0" applyFont="1" applyBorder="1" applyAlignment="1">
      <alignment horizontal="center"/>
    </xf>
    <xf numFmtId="0" fontId="28" fillId="0" borderId="1" xfId="0" applyFont="1" applyBorder="1" applyAlignment="1">
      <alignment horizontal="center"/>
    </xf>
    <xf numFmtId="0" fontId="61" fillId="4" borderId="1" xfId="0" applyFont="1" applyFill="1" applyBorder="1"/>
    <xf numFmtId="164" fontId="61" fillId="4" borderId="1" xfId="0" applyNumberFormat="1" applyFont="1" applyFill="1" applyBorder="1" applyAlignment="1">
      <alignment horizontal="right"/>
    </xf>
    <xf numFmtId="0" fontId="62" fillId="10" borderId="1" xfId="0" applyFont="1" applyFill="1" applyBorder="1" applyAlignment="1">
      <alignment horizontal="right"/>
    </xf>
    <xf numFmtId="0" fontId="33" fillId="10" borderId="1" xfId="0" applyFont="1" applyFill="1" applyBorder="1" applyAlignment="1">
      <alignment horizontal="right"/>
    </xf>
    <xf numFmtId="0" fontId="81" fillId="10" borderId="1" xfId="0" applyFont="1" applyFill="1" applyBorder="1"/>
    <xf numFmtId="0" fontId="72" fillId="4" borderId="1" xfId="0" applyFont="1" applyFill="1" applyBorder="1"/>
    <xf numFmtId="0" fontId="73" fillId="4" borderId="1" xfId="0" applyFont="1" applyFill="1" applyBorder="1"/>
    <xf numFmtId="0" fontId="73" fillId="21" borderId="1" xfId="0" applyFont="1" applyFill="1" applyBorder="1"/>
    <xf numFmtId="0" fontId="73" fillId="21" borderId="1" xfId="0" applyFont="1" applyFill="1" applyBorder="1" applyAlignment="1">
      <alignment wrapText="1"/>
    </xf>
    <xf numFmtId="164" fontId="17" fillId="0" borderId="0" xfId="0" quotePrefix="1" applyNumberFormat="1" applyFont="1"/>
    <xf numFmtId="0" fontId="45" fillId="12" borderId="1" xfId="0" applyFont="1" applyFill="1" applyBorder="1" applyAlignment="1">
      <alignment horizontal="center"/>
    </xf>
    <xf numFmtId="0" fontId="15" fillId="12" borderId="1" xfId="0" applyFont="1" applyFill="1" applyBorder="1" applyAlignment="1">
      <alignment horizontal="center"/>
    </xf>
    <xf numFmtId="168" fontId="82" fillId="22" borderId="1" xfId="0" applyNumberFormat="1" applyFont="1" applyFill="1" applyBorder="1" applyAlignment="1">
      <alignment horizontal="center"/>
    </xf>
    <xf numFmtId="0" fontId="39" fillId="4" borderId="1" xfId="0" applyFont="1" applyFill="1" applyBorder="1" applyAlignment="1">
      <alignment horizontal="center"/>
    </xf>
    <xf numFmtId="168" fontId="28" fillId="0" borderId="1" xfId="0" applyNumberFormat="1" applyFont="1" applyBorder="1"/>
    <xf numFmtId="164" fontId="46" fillId="12" borderId="1" xfId="0" applyNumberFormat="1" applyFont="1" applyFill="1" applyBorder="1"/>
    <xf numFmtId="1" fontId="41" fillId="10" borderId="1" xfId="0" applyNumberFormat="1" applyFont="1" applyFill="1" applyBorder="1"/>
    <xf numFmtId="165" fontId="90" fillId="22" borderId="1" xfId="0" applyNumberFormat="1" applyFont="1" applyFill="1" applyBorder="1"/>
    <xf numFmtId="167" fontId="0" fillId="9" borderId="1" xfId="0" applyNumberFormat="1" applyFill="1" applyBorder="1"/>
    <xf numFmtId="0" fontId="33" fillId="19" borderId="1" xfId="0" applyFont="1" applyFill="1" applyBorder="1" applyAlignment="1">
      <alignment horizontal="right"/>
    </xf>
    <xf numFmtId="0" fontId="41" fillId="10" borderId="1" xfId="0" applyFont="1" applyFill="1" applyBorder="1"/>
    <xf numFmtId="0" fontId="20" fillId="10" borderId="1" xfId="0" applyFont="1" applyFill="1" applyBorder="1" applyAlignment="1">
      <alignment horizontal="right"/>
    </xf>
    <xf numFmtId="167" fontId="19" fillId="9" borderId="1" xfId="0" applyNumberFormat="1" applyFont="1" applyFill="1" applyBorder="1" applyAlignment="1">
      <alignment horizontal="right"/>
    </xf>
    <xf numFmtId="168" fontId="82" fillId="22" borderId="1" xfId="0" applyNumberFormat="1" applyFont="1" applyFill="1" applyBorder="1" applyAlignment="1">
      <alignment horizontal="right"/>
    </xf>
    <xf numFmtId="0" fontId="28" fillId="0" borderId="0" xfId="0" applyFont="1" applyAlignment="1">
      <alignment horizontal="right" wrapText="1"/>
    </xf>
    <xf numFmtId="0" fontId="0" fillId="0" borderId="1" xfId="0" applyBorder="1" applyAlignment="1">
      <alignment horizontal="center"/>
    </xf>
    <xf numFmtId="165" fontId="39" fillId="14" borderId="4" xfId="0" applyNumberFormat="1" applyFont="1" applyFill="1" applyBorder="1" applyAlignment="1">
      <alignment horizontal="center" vertical="center"/>
    </xf>
    <xf numFmtId="0" fontId="8" fillId="4" borderId="1" xfId="0" applyFont="1" applyFill="1" applyBorder="1" applyAlignment="1">
      <alignment horizontal="center"/>
    </xf>
    <xf numFmtId="165" fontId="39" fillId="14" borderId="5" xfId="0" applyNumberFormat="1" applyFont="1" applyFill="1" applyBorder="1" applyAlignment="1">
      <alignment horizontal="center" vertical="center"/>
    </xf>
    <xf numFmtId="165" fontId="39" fillId="14" borderId="6" xfId="0" applyNumberFormat="1" applyFont="1" applyFill="1" applyBorder="1" applyAlignment="1">
      <alignment horizontal="center" vertical="center"/>
    </xf>
    <xf numFmtId="0" fontId="76" fillId="0" borderId="1" xfId="5" applyFill="1" applyBorder="1"/>
    <xf numFmtId="0" fontId="0" fillId="0" borderId="8" xfId="0" applyBorder="1" applyAlignment="1">
      <alignment horizontal="left"/>
    </xf>
    <xf numFmtId="0" fontId="0" fillId="0" borderId="8" xfId="0" applyBorder="1"/>
    <xf numFmtId="0" fontId="76" fillId="0" borderId="0" xfId="5" applyFill="1"/>
    <xf numFmtId="164" fontId="62" fillId="10" borderId="1" xfId="0" applyNumberFormat="1" applyFont="1" applyFill="1" applyBorder="1" applyAlignment="1">
      <alignment horizontal="right"/>
    </xf>
    <xf numFmtId="168" fontId="80" fillId="9" borderId="1" xfId="0" applyNumberFormat="1" applyFont="1" applyFill="1" applyBorder="1"/>
    <xf numFmtId="168" fontId="28" fillId="0" borderId="1" xfId="0" applyNumberFormat="1" applyFont="1" applyBorder="1" applyAlignment="1">
      <alignment horizontal="center"/>
    </xf>
    <xf numFmtId="43" fontId="31" fillId="0" borderId="0" xfId="0" applyNumberFormat="1" applyFont="1"/>
    <xf numFmtId="0" fontId="31" fillId="15" borderId="0" xfId="0" quotePrefix="1" applyFont="1" applyFill="1" applyAlignment="1">
      <alignment vertical="top"/>
    </xf>
    <xf numFmtId="43" fontId="0" fillId="0" borderId="0" xfId="0" applyNumberFormat="1"/>
    <xf numFmtId="43" fontId="28" fillId="0" borderId="0" xfId="0" applyNumberFormat="1" applyFont="1" applyAlignment="1">
      <alignment wrapText="1"/>
    </xf>
    <xf numFmtId="43" fontId="57" fillId="0" borderId="0" xfId="0" applyNumberFormat="1" applyFont="1"/>
    <xf numFmtId="43" fontId="20" fillId="0" borderId="0" xfId="0" applyNumberFormat="1" applyFont="1"/>
    <xf numFmtId="43" fontId="0" fillId="0" borderId="1" xfId="0" applyNumberFormat="1" applyBorder="1"/>
    <xf numFmtId="0" fontId="91" fillId="0" borderId="1" xfId="0" applyFont="1" applyBorder="1"/>
    <xf numFmtId="0" fontId="92" fillId="0" borderId="1" xfId="0" applyFont="1" applyBorder="1"/>
    <xf numFmtId="0" fontId="92" fillId="4" borderId="1" xfId="0" applyFont="1" applyFill="1" applyBorder="1"/>
    <xf numFmtId="3" fontId="91" fillId="0" borderId="1" xfId="0" applyNumberFormat="1" applyFont="1" applyBorder="1"/>
    <xf numFmtId="43" fontId="91" fillId="0" borderId="1" xfId="0" applyNumberFormat="1" applyFont="1" applyBorder="1"/>
    <xf numFmtId="167" fontId="57" fillId="12" borderId="0" xfId="0" applyNumberFormat="1" applyFont="1" applyFill="1" applyAlignment="1">
      <alignment horizontal="right"/>
    </xf>
    <xf numFmtId="168" fontId="0" fillId="0" borderId="0" xfId="0" applyNumberFormat="1"/>
    <xf numFmtId="43" fontId="12" fillId="3" borderId="0" xfId="0" applyNumberFormat="1" applyFont="1" applyFill="1" applyAlignment="1">
      <alignment horizontal="left"/>
    </xf>
    <xf numFmtId="43" fontId="10" fillId="9" borderId="0" xfId="0" applyNumberFormat="1" applyFont="1" applyFill="1" applyAlignment="1">
      <alignment horizontal="right"/>
    </xf>
    <xf numFmtId="43" fontId="58" fillId="9" borderId="1" xfId="0" applyNumberFormat="1" applyFont="1" applyFill="1" applyBorder="1" applyAlignment="1">
      <alignment horizontal="right"/>
    </xf>
    <xf numFmtId="0" fontId="68" fillId="11" borderId="9" xfId="0" applyFont="1" applyFill="1" applyBorder="1" applyAlignment="1" applyProtection="1">
      <alignment horizontal="center" textRotation="90" wrapText="1"/>
      <protection locked="0"/>
    </xf>
    <xf numFmtId="0" fontId="66" fillId="11" borderId="9" xfId="0" applyFont="1" applyFill="1" applyBorder="1" applyAlignment="1">
      <alignment horizontal="center"/>
    </xf>
    <xf numFmtId="0" fontId="68" fillId="5" borderId="9" xfId="0" applyFont="1" applyFill="1" applyBorder="1" applyAlignment="1" applyProtection="1">
      <alignment horizontal="center" textRotation="90" wrapText="1"/>
      <protection locked="0"/>
    </xf>
    <xf numFmtId="0" fontId="66" fillId="5" borderId="9" xfId="0" applyFont="1" applyFill="1" applyBorder="1" applyAlignment="1">
      <alignment horizontal="center"/>
    </xf>
    <xf numFmtId="0" fontId="68" fillId="14" borderId="9" xfId="0" applyFont="1" applyFill="1" applyBorder="1" applyAlignment="1" applyProtection="1">
      <alignment horizontal="center" textRotation="90" wrapText="1"/>
      <protection locked="0"/>
    </xf>
    <xf numFmtId="0" fontId="65" fillId="14" borderId="10" xfId="0" applyFont="1" applyFill="1" applyBorder="1" applyAlignment="1">
      <alignment horizontal="left"/>
    </xf>
    <xf numFmtId="0" fontId="68" fillId="7" borderId="9" xfId="0" applyFont="1" applyFill="1" applyBorder="1" applyAlignment="1" applyProtection="1">
      <alignment horizontal="center" textRotation="90" wrapText="1"/>
      <protection locked="0"/>
    </xf>
    <xf numFmtId="0" fontId="66" fillId="7" borderId="9" xfId="0" applyFont="1" applyFill="1" applyBorder="1" applyAlignment="1">
      <alignment horizontal="center"/>
    </xf>
    <xf numFmtId="0" fontId="68" fillId="13" borderId="9" xfId="0" applyFont="1" applyFill="1" applyBorder="1" applyAlignment="1" applyProtection="1">
      <alignment horizontal="center" textRotation="90" wrapText="1"/>
      <protection locked="0"/>
    </xf>
    <xf numFmtId="0" fontId="66" fillId="13" borderId="9" xfId="0" applyFont="1" applyFill="1" applyBorder="1" applyAlignment="1">
      <alignment horizontal="center"/>
    </xf>
    <xf numFmtId="4" fontId="0" fillId="0" borderId="1" xfId="0" applyNumberFormat="1" applyBorder="1"/>
    <xf numFmtId="4" fontId="0" fillId="0" borderId="0" xfId="0" applyNumberFormat="1"/>
    <xf numFmtId="164" fontId="0" fillId="0" borderId="0" xfId="0" applyNumberFormat="1" applyAlignment="1">
      <alignment horizontal="right"/>
    </xf>
    <xf numFmtId="164" fontId="0" fillId="0" borderId="0" xfId="0" applyNumberFormat="1"/>
    <xf numFmtId="0" fontId="35" fillId="0" borderId="0" xfId="0" applyFont="1" applyAlignment="1">
      <alignment horizontal="right" wrapText="1"/>
    </xf>
    <xf numFmtId="167" fontId="0" fillId="0" borderId="1" xfId="0" applyNumberFormat="1" applyBorder="1" applyAlignment="1">
      <alignment horizontal="right"/>
    </xf>
    <xf numFmtId="164" fontId="95" fillId="10" borderId="0" xfId="0" applyNumberFormat="1" applyFont="1" applyFill="1" applyAlignment="1">
      <alignment horizontal="right" vertical="center"/>
    </xf>
    <xf numFmtId="167" fontId="96" fillId="0" borderId="0" xfId="0" applyNumberFormat="1" applyFont="1" applyAlignment="1">
      <alignment horizontal="right" vertical="center"/>
    </xf>
    <xf numFmtId="0" fontId="96" fillId="2" borderId="0" xfId="0" applyFont="1" applyFill="1" applyAlignment="1">
      <alignment horizontal="right"/>
    </xf>
    <xf numFmtId="164" fontId="96" fillId="0" borderId="0" xfId="0" applyNumberFormat="1" applyFont="1" applyAlignment="1">
      <alignment horizontal="right" vertical="center"/>
    </xf>
    <xf numFmtId="0" fontId="54" fillId="4" borderId="1" xfId="0" applyFont="1" applyFill="1" applyBorder="1" applyAlignment="1">
      <alignment horizontal="center" wrapText="1"/>
    </xf>
    <xf numFmtId="0" fontId="39" fillId="0" borderId="1" xfId="0" applyFont="1" applyBorder="1" applyAlignment="1">
      <alignment horizontal="right" wrapText="1"/>
    </xf>
    <xf numFmtId="164" fontId="14" fillId="6" borderId="1" xfId="0" applyNumberFormat="1" applyFont="1" applyFill="1" applyBorder="1" applyAlignment="1">
      <alignment horizontal="right"/>
    </xf>
    <xf numFmtId="0" fontId="14" fillId="6" borderId="1" xfId="0" applyFont="1" applyFill="1" applyBorder="1" applyAlignment="1">
      <alignment horizontal="left"/>
    </xf>
    <xf numFmtId="0" fontId="37" fillId="0" borderId="1" xfId="0" applyFont="1" applyBorder="1"/>
    <xf numFmtId="0" fontId="16" fillId="0" borderId="1" xfId="0" applyFont="1" applyBorder="1" applyAlignment="1">
      <alignment horizontal="center"/>
    </xf>
    <xf numFmtId="164" fontId="28" fillId="0" borderId="0" xfId="0" applyNumberFormat="1" applyFont="1" applyAlignment="1">
      <alignment horizontal="left" vertical="top" wrapText="1"/>
    </xf>
    <xf numFmtId="0" fontId="10" fillId="10" borderId="0" xfId="0" applyFont="1" applyFill="1" applyAlignment="1">
      <alignment horizontal="right" vertical="center"/>
    </xf>
    <xf numFmtId="164" fontId="10" fillId="10" borderId="0" xfId="0" applyNumberFormat="1" applyFont="1" applyFill="1" applyAlignment="1">
      <alignment horizontal="right" vertical="center"/>
    </xf>
    <xf numFmtId="164" fontId="50" fillId="20" borderId="0" xfId="0" applyNumberFormat="1" applyFont="1" applyFill="1" applyAlignment="1">
      <alignment horizontal="right" vertical="center"/>
    </xf>
    <xf numFmtId="0" fontId="11" fillId="2" borderId="0" xfId="0" applyFont="1" applyFill="1" applyAlignment="1">
      <alignment horizontal="right"/>
    </xf>
    <xf numFmtId="164" fontId="51" fillId="9" borderId="0" xfId="0" applyNumberFormat="1" applyFont="1" applyFill="1" applyAlignment="1">
      <alignment horizontal="right" vertical="center"/>
    </xf>
    <xf numFmtId="164" fontId="51" fillId="0" borderId="0" xfId="0" applyNumberFormat="1" applyFont="1" applyAlignment="1">
      <alignment horizontal="right" vertical="center"/>
    </xf>
    <xf numFmtId="167" fontId="51" fillId="0" borderId="0" xfId="0" applyNumberFormat="1" applyFont="1" applyAlignment="1">
      <alignment horizontal="right" vertical="center"/>
    </xf>
    <xf numFmtId="164" fontId="52" fillId="20" borderId="0" xfId="0" applyNumberFormat="1" applyFont="1" applyFill="1" applyAlignment="1">
      <alignment vertical="center"/>
    </xf>
    <xf numFmtId="164" fontId="27" fillId="0" borderId="0" xfId="0" applyNumberFormat="1" applyFont="1" applyAlignment="1">
      <alignment horizontal="right" vertical="center"/>
    </xf>
    <xf numFmtId="164" fontId="11" fillId="9" borderId="0" xfId="0" applyNumberFormat="1" applyFont="1" applyFill="1" applyAlignment="1">
      <alignment horizontal="right" vertical="center"/>
    </xf>
    <xf numFmtId="164" fontId="11" fillId="0" borderId="0" xfId="0" applyNumberFormat="1" applyFont="1" applyAlignment="1">
      <alignment horizontal="right" vertical="center"/>
    </xf>
    <xf numFmtId="164" fontId="27" fillId="9" borderId="0" xfId="0" applyNumberFormat="1" applyFont="1" applyFill="1" applyAlignment="1">
      <alignment horizontal="right" vertical="center"/>
    </xf>
    <xf numFmtId="167" fontId="27" fillId="0" borderId="0" xfId="0" applyNumberFormat="1" applyFont="1" applyAlignment="1">
      <alignment horizontal="right" vertical="center"/>
    </xf>
    <xf numFmtId="0" fontId="67" fillId="10" borderId="1" xfId="0" applyFont="1" applyFill="1" applyBorder="1" applyAlignment="1">
      <alignment horizontal="right" wrapText="1"/>
    </xf>
    <xf numFmtId="0" fontId="67" fillId="23" borderId="1" xfId="0" applyFont="1" applyFill="1" applyBorder="1" applyAlignment="1">
      <alignment horizontal="right" wrapText="1"/>
    </xf>
    <xf numFmtId="0" fontId="97" fillId="0" borderId="0" xfId="0" applyFont="1"/>
    <xf numFmtId="0" fontId="69" fillId="0" borderId="0" xfId="0" applyFont="1" applyAlignment="1">
      <alignment vertical="top" wrapText="1"/>
    </xf>
    <xf numFmtId="0" fontId="98" fillId="0" borderId="0" xfId="0" applyFont="1"/>
    <xf numFmtId="15" fontId="0" fillId="0" borderId="0" xfId="0" applyNumberFormat="1" applyAlignment="1">
      <alignment horizontal="left"/>
    </xf>
    <xf numFmtId="0" fontId="100" fillId="0" borderId="0" xfId="0" applyFont="1" applyAlignment="1">
      <alignment horizontal="left"/>
    </xf>
    <xf numFmtId="3" fontId="0" fillId="4" borderId="0" xfId="0" applyNumberFormat="1" applyFill="1" applyAlignment="1">
      <alignment horizontal="right"/>
    </xf>
    <xf numFmtId="3" fontId="0" fillId="4" borderId="1" xfId="0" applyNumberFormat="1" applyFill="1" applyBorder="1" applyAlignment="1">
      <alignment horizontal="right"/>
    </xf>
    <xf numFmtId="169" fontId="27" fillId="0" borderId="1" xfId="0" applyNumberFormat="1" applyFont="1" applyBorder="1"/>
    <xf numFmtId="169" fontId="51" fillId="6" borderId="1" xfId="0" applyNumberFormat="1" applyFont="1" applyFill="1" applyBorder="1"/>
    <xf numFmtId="0" fontId="102" fillId="0" borderId="0" xfId="0" applyFont="1" applyAlignment="1">
      <alignment horizontal="left"/>
    </xf>
    <xf numFmtId="0" fontId="103" fillId="0" borderId="1" xfId="0" applyFont="1" applyBorder="1"/>
    <xf numFmtId="0" fontId="87" fillId="0" borderId="1" xfId="0" applyFont="1" applyBorder="1"/>
    <xf numFmtId="0" fontId="83" fillId="0" borderId="1" xfId="0" applyFont="1" applyBorder="1" applyAlignment="1">
      <alignment wrapText="1"/>
    </xf>
    <xf numFmtId="0" fontId="35" fillId="0" borderId="1" xfId="0" applyFont="1" applyBorder="1"/>
    <xf numFmtId="0" fontId="35" fillId="0" borderId="1" xfId="0" applyFont="1" applyBorder="1" applyAlignment="1">
      <alignment wrapText="1"/>
    </xf>
    <xf numFmtId="0" fontId="88" fillId="0" borderId="1" xfId="0" applyFont="1" applyBorder="1"/>
    <xf numFmtId="14" fontId="88" fillId="0" borderId="1" xfId="0" applyNumberFormat="1" applyFont="1" applyBorder="1"/>
    <xf numFmtId="0" fontId="89" fillId="0" borderId="1" xfId="0" applyFont="1" applyBorder="1"/>
    <xf numFmtId="0" fontId="73" fillId="0" borderId="1" xfId="0" applyFont="1" applyBorder="1"/>
    <xf numFmtId="10" fontId="73" fillId="0" borderId="1" xfId="0" applyNumberFormat="1" applyFont="1" applyBorder="1"/>
    <xf numFmtId="0" fontId="104" fillId="0" borderId="1" xfId="0" applyFont="1" applyBorder="1"/>
    <xf numFmtId="0" fontId="72" fillId="21" borderId="1" xfId="0" applyFont="1" applyFill="1" applyBorder="1"/>
    <xf numFmtId="9" fontId="73" fillId="21" borderId="1" xfId="0" applyNumberFormat="1" applyFont="1" applyFill="1" applyBorder="1"/>
    <xf numFmtId="10" fontId="73" fillId="21" borderId="1" xfId="0" applyNumberFormat="1" applyFont="1" applyFill="1" applyBorder="1"/>
    <xf numFmtId="2" fontId="0" fillId="0" borderId="0" xfId="0" applyNumberFormat="1" applyAlignment="1">
      <alignment horizontal="left"/>
    </xf>
    <xf numFmtId="0" fontId="44" fillId="0" borderId="0" xfId="0" applyFont="1" applyAlignment="1">
      <alignment horizontal="left"/>
    </xf>
    <xf numFmtId="0" fontId="44" fillId="0" borderId="0" xfId="0" applyFont="1" applyAlignment="1">
      <alignment vertical="top"/>
    </xf>
    <xf numFmtId="0" fontId="20" fillId="0" borderId="0" xfId="0" applyFont="1" applyAlignment="1">
      <alignment horizontal="left"/>
    </xf>
    <xf numFmtId="0" fontId="18" fillId="0" borderId="0" xfId="0" applyFont="1"/>
    <xf numFmtId="0" fontId="105" fillId="0" borderId="0" xfId="0" applyFont="1"/>
    <xf numFmtId="0" fontId="4" fillId="0" borderId="0" xfId="0" applyFont="1"/>
    <xf numFmtId="0" fontId="26" fillId="0" borderId="1" xfId="0" applyFont="1" applyBorder="1" applyAlignment="1">
      <alignment horizontal="left" wrapText="1"/>
    </xf>
    <xf numFmtId="0" fontId="67" fillId="10" borderId="1" xfId="0" applyFont="1" applyFill="1" applyBorder="1"/>
    <xf numFmtId="0" fontId="67" fillId="4" borderId="1" xfId="0" applyFont="1" applyFill="1" applyBorder="1"/>
    <xf numFmtId="0" fontId="91" fillId="0" borderId="0" xfId="0" applyFont="1"/>
    <xf numFmtId="167" fontId="91" fillId="0" borderId="0" xfId="1" applyNumberFormat="1" applyFont="1" applyFill="1"/>
    <xf numFmtId="0" fontId="67" fillId="0" borderId="1" xfId="0" applyFont="1" applyBorder="1"/>
    <xf numFmtId="167" fontId="67" fillId="0" borderId="1" xfId="0" applyNumberFormat="1" applyFont="1" applyBorder="1" applyAlignment="1">
      <alignment horizontal="right"/>
    </xf>
    <xf numFmtId="4" fontId="25" fillId="24" borderId="0" xfId="0" applyNumberFormat="1" applyFont="1" applyFill="1" applyAlignment="1">
      <alignment horizontal="right"/>
    </xf>
    <xf numFmtId="0" fontId="91" fillId="4" borderId="1" xfId="0" applyFont="1" applyFill="1" applyBorder="1" applyAlignment="1" applyProtection="1">
      <alignment horizontal="center" textRotation="90" wrapText="1"/>
      <protection locked="0"/>
    </xf>
    <xf numFmtId="167" fontId="57" fillId="24" borderId="0" xfId="0" applyNumberFormat="1" applyFont="1" applyFill="1" applyAlignment="1">
      <alignment horizontal="right"/>
    </xf>
    <xf numFmtId="0" fontId="106" fillId="0" borderId="0" xfId="0" applyFont="1" applyAlignment="1">
      <alignment wrapText="1"/>
    </xf>
    <xf numFmtId="0" fontId="20" fillId="0" borderId="0" xfId="0" applyFont="1" applyAlignment="1">
      <alignment wrapText="1"/>
    </xf>
    <xf numFmtId="165" fontId="16" fillId="0" borderId="1" xfId="0" applyNumberFormat="1" applyFont="1" applyBorder="1" applyAlignment="1">
      <alignment horizontal="right"/>
    </xf>
    <xf numFmtId="165" fontId="14" fillId="6" borderId="1" xfId="0" applyNumberFormat="1" applyFont="1" applyFill="1" applyBorder="1" applyAlignment="1">
      <alignment horizontal="right"/>
    </xf>
    <xf numFmtId="0" fontId="107" fillId="4" borderId="1" xfId="0" applyFont="1" applyFill="1" applyBorder="1" applyAlignment="1" applyProtection="1">
      <alignment horizontal="center" textRotation="90" wrapText="1"/>
      <protection locked="0"/>
    </xf>
    <xf numFmtId="164" fontId="108" fillId="24" borderId="1" xfId="0" applyNumberFormat="1" applyFont="1" applyFill="1" applyBorder="1" applyAlignment="1">
      <alignment horizontal="right"/>
    </xf>
    <xf numFmtId="0" fontId="84" fillId="10" borderId="1" xfId="0" applyFont="1" applyFill="1" applyBorder="1" applyAlignment="1">
      <alignment horizontal="right"/>
    </xf>
    <xf numFmtId="0" fontId="84" fillId="10" borderId="1" xfId="0" applyFont="1" applyFill="1" applyBorder="1" applyAlignment="1">
      <alignment horizontal="right" wrapText="1"/>
    </xf>
    <xf numFmtId="0" fontId="88" fillId="0" borderId="1" xfId="0" applyFont="1" applyBorder="1" applyAlignment="1">
      <alignment horizontal="right"/>
    </xf>
    <xf numFmtId="0" fontId="67" fillId="10" borderId="1" xfId="0" applyFont="1" applyFill="1" applyBorder="1" applyAlignment="1">
      <alignment horizontal="left" wrapText="1"/>
    </xf>
    <xf numFmtId="0" fontId="84" fillId="10" borderId="1" xfId="0" applyFont="1" applyFill="1" applyBorder="1" applyAlignment="1">
      <alignment horizontal="left"/>
    </xf>
    <xf numFmtId="0" fontId="88" fillId="0" borderId="1" xfId="0" applyFont="1" applyBorder="1" applyAlignment="1">
      <alignment horizontal="left"/>
    </xf>
    <xf numFmtId="0" fontId="85" fillId="10" borderId="1" xfId="0" applyFont="1" applyFill="1" applyBorder="1" applyAlignment="1">
      <alignment horizontal="left" wrapText="1"/>
    </xf>
    <xf numFmtId="0" fontId="86" fillId="10" borderId="1" xfId="0" applyFont="1" applyFill="1" applyBorder="1" applyAlignment="1">
      <alignment horizontal="left" wrapText="1"/>
    </xf>
    <xf numFmtId="14" fontId="88" fillId="0" borderId="1" xfId="0" applyNumberFormat="1" applyFont="1" applyBorder="1" applyAlignment="1">
      <alignment horizontal="left"/>
    </xf>
    <xf numFmtId="0" fontId="109" fillId="0" borderId="1" xfId="0" applyFont="1" applyBorder="1"/>
    <xf numFmtId="0" fontId="109" fillId="0" borderId="1" xfId="0" applyFont="1" applyBorder="1" applyAlignment="1">
      <alignment wrapText="1"/>
    </xf>
    <xf numFmtId="0" fontId="110" fillId="0" borderId="1" xfId="0" applyFont="1" applyBorder="1"/>
    <xf numFmtId="0" fontId="111" fillId="0" borderId="1" xfId="0" applyFont="1" applyBorder="1" applyAlignment="1">
      <alignment horizontal="left" wrapText="1"/>
    </xf>
    <xf numFmtId="0" fontId="112" fillId="19" borderId="1" xfId="0" applyFont="1" applyFill="1" applyBorder="1" applyAlignment="1">
      <alignment horizontal="right"/>
    </xf>
    <xf numFmtId="0" fontId="113" fillId="4" borderId="1" xfId="0" applyFont="1" applyFill="1" applyBorder="1"/>
    <xf numFmtId="0" fontId="113" fillId="0" borderId="1" xfId="0" applyFont="1" applyBorder="1"/>
    <xf numFmtId="165" fontId="18" fillId="0" borderId="1" xfId="0" applyNumberFormat="1" applyFont="1" applyBorder="1" applyAlignment="1">
      <alignment horizontal="right"/>
    </xf>
    <xf numFmtId="165" fontId="18" fillId="24" borderId="1" xfId="0" applyNumberFormat="1" applyFont="1" applyFill="1" applyBorder="1" applyAlignment="1">
      <alignment horizontal="right"/>
    </xf>
    <xf numFmtId="164" fontId="48" fillId="24" borderId="1" xfId="0" applyNumberFormat="1" applyFont="1" applyFill="1" applyBorder="1" applyAlignment="1">
      <alignment horizontal="right"/>
    </xf>
    <xf numFmtId="168" fontId="22" fillId="24" borderId="1" xfId="0" applyNumberFormat="1" applyFont="1" applyFill="1" applyBorder="1" applyAlignment="1">
      <alignment horizontal="right"/>
    </xf>
    <xf numFmtId="0" fontId="114" fillId="0" borderId="0" xfId="0" applyFont="1"/>
    <xf numFmtId="0" fontId="18" fillId="24" borderId="1" xfId="0" applyFont="1" applyFill="1" applyBorder="1"/>
    <xf numFmtId="164" fontId="18" fillId="24" borderId="1" xfId="0" applyNumberFormat="1" applyFont="1" applyFill="1" applyBorder="1" applyAlignment="1">
      <alignment horizontal="right"/>
    </xf>
    <xf numFmtId="0" fontId="78" fillId="24" borderId="1" xfId="0" applyFont="1" applyFill="1" applyBorder="1"/>
    <xf numFmtId="164" fontId="78" fillId="24" borderId="1" xfId="0" applyNumberFormat="1" applyFont="1" applyFill="1" applyBorder="1" applyAlignment="1">
      <alignment horizontal="right"/>
    </xf>
    <xf numFmtId="164" fontId="18" fillId="24" borderId="1" xfId="0" applyNumberFormat="1" applyFont="1" applyFill="1" applyBorder="1"/>
    <xf numFmtId="0" fontId="48" fillId="24" borderId="1" xfId="0" applyFont="1" applyFill="1" applyBorder="1"/>
    <xf numFmtId="164" fontId="25" fillId="24" borderId="1" xfId="0" applyNumberFormat="1" applyFont="1" applyFill="1" applyBorder="1" applyAlignment="1">
      <alignment horizontal="right"/>
    </xf>
    <xf numFmtId="0" fontId="0" fillId="0" borderId="0" xfId="0" applyAlignment="1">
      <alignment horizontal="left" vertical="center"/>
    </xf>
    <xf numFmtId="0" fontId="3" fillId="0" borderId="0" xfId="0" applyFont="1" applyAlignment="1">
      <alignment horizontal="left"/>
    </xf>
    <xf numFmtId="0" fontId="115" fillId="0" borderId="1" xfId="0" applyFont="1" applyBorder="1" applyAlignment="1">
      <alignment vertical="center"/>
    </xf>
    <xf numFmtId="0" fontId="2" fillId="0" borderId="0" xfId="0" applyFont="1" applyAlignment="1">
      <alignment horizontal="left"/>
    </xf>
    <xf numFmtId="4" fontId="116" fillId="24" borderId="0" xfId="0" applyNumberFormat="1" applyFont="1" applyFill="1" applyAlignment="1">
      <alignment horizontal="right"/>
    </xf>
    <xf numFmtId="0" fontId="1" fillId="0" borderId="0" xfId="0" applyFont="1" applyAlignment="1">
      <alignment horizontal="left"/>
    </xf>
    <xf numFmtId="0" fontId="63" fillId="0" borderId="7" xfId="0" applyFont="1" applyBorder="1"/>
    <xf numFmtId="0" fontId="63" fillId="0" borderId="0" xfId="0" applyFont="1" applyAlignment="1">
      <alignment horizontal="left"/>
    </xf>
    <xf numFmtId="0" fontId="101" fillId="0" borderId="1" xfId="0" applyFont="1" applyBorder="1" applyAlignment="1">
      <alignment horizontal="left" wrapText="1"/>
    </xf>
    <xf numFmtId="0" fontId="101" fillId="0" borderId="11" xfId="0" applyFont="1" applyBorder="1" applyAlignment="1">
      <alignment horizontal="left" wrapText="1"/>
    </xf>
    <xf numFmtId="0" fontId="39" fillId="0" borderId="1" xfId="0" applyFont="1" applyBorder="1" applyAlignment="1">
      <alignment horizontal="left" wrapText="1"/>
    </xf>
    <xf numFmtId="0" fontId="27" fillId="0" borderId="1" xfId="0" applyFont="1" applyBorder="1" applyAlignment="1">
      <alignment horizontal="left" wrapText="1"/>
    </xf>
    <xf numFmtId="0" fontId="26" fillId="0" borderId="1" xfId="0" applyFont="1" applyBorder="1" applyAlignment="1">
      <alignment horizontal="left" wrapText="1"/>
    </xf>
    <xf numFmtId="164" fontId="28" fillId="0" borderId="0" xfId="0" applyNumberFormat="1" applyFont="1" applyAlignment="1">
      <alignment horizontal="center" wrapText="1"/>
    </xf>
    <xf numFmtId="164" fontId="28" fillId="0" borderId="0" xfId="0" applyNumberFormat="1" applyFont="1" applyAlignment="1">
      <alignment horizontal="left" wrapText="1"/>
    </xf>
    <xf numFmtId="0" fontId="0" fillId="0" borderId="0" xfId="0" applyAlignment="1">
      <alignment horizontal="left"/>
    </xf>
    <xf numFmtId="0" fontId="17" fillId="0" borderId="0" xfId="0" applyFont="1" applyAlignment="1">
      <alignment horizontal="left"/>
    </xf>
  </cellXfs>
  <cellStyles count="7">
    <cellStyle name="60% - Accent1 2" xfId="4" xr:uid="{02ACF1A2-A91C-4A6A-B6D7-6DD3D70624B5}"/>
    <cellStyle name="60% - Accent5" xfId="2" builtinId="48"/>
    <cellStyle name="Comma" xfId="1" builtinId="3"/>
    <cellStyle name="Hyperlink" xfId="5" builtinId="8"/>
    <cellStyle name="Normal" xfId="0" builtinId="0"/>
    <cellStyle name="Normal 2" xfId="6" xr:uid="{1FF952FD-B7C3-0A44-8A0B-FCA3EB9F725A}"/>
    <cellStyle name="Normal 3 5" xfId="3" xr:uid="{17C4A8E0-C1AC-4828-BD8B-12FF42AC3A28}"/>
  </cellStyles>
  <dxfs count="33">
    <dxf>
      <font>
        <color rgb="FFFFFFFF"/>
      </font>
      <fill>
        <patternFill patternType="solid">
          <bgColor rgb="FF548235"/>
        </patternFill>
      </fill>
    </dxf>
    <dxf>
      <fill>
        <patternFill patternType="solid">
          <bgColor rgb="FFA9D08E"/>
        </patternFill>
      </fill>
    </dxf>
    <dxf>
      <fill>
        <patternFill patternType="solid">
          <bgColor rgb="FFE2EFDA"/>
        </patternFill>
      </fill>
    </dxf>
    <dxf>
      <fill>
        <patternFill patternType="solid">
          <bgColor rgb="FFFFFFFF"/>
        </patternFill>
      </fill>
    </dxf>
    <dxf>
      <font>
        <color rgb="FFFFFFFF"/>
      </font>
      <fill>
        <patternFill patternType="solid">
          <bgColor rgb="FFBF8F00"/>
        </patternFill>
      </fill>
    </dxf>
    <dxf>
      <fill>
        <patternFill patternType="solid">
          <bgColor rgb="FFFFD966"/>
        </patternFill>
      </fill>
    </dxf>
    <dxf>
      <fill>
        <patternFill patternType="solid">
          <bgColor rgb="FFFFF2CC"/>
        </patternFill>
      </fill>
    </dxf>
    <dxf>
      <fill>
        <patternFill patternType="solid">
          <bgColor rgb="FFFFFFFF"/>
        </patternFill>
      </fill>
    </dxf>
    <dxf>
      <font>
        <color rgb="FFFFFFFF"/>
      </font>
      <fill>
        <patternFill patternType="solid">
          <bgColor rgb="FFC65911"/>
        </patternFill>
      </fill>
    </dxf>
    <dxf>
      <fill>
        <patternFill patternType="solid">
          <bgColor rgb="FFF4B084"/>
        </patternFill>
      </fill>
    </dxf>
    <dxf>
      <fill>
        <patternFill patternType="solid">
          <bgColor rgb="FFFCE4D6"/>
        </patternFill>
      </fill>
    </dxf>
    <dxf>
      <fill>
        <patternFill patternType="solid">
          <bgColor rgb="FFFFFFFF"/>
        </patternFill>
      </fill>
    </dxf>
    <dxf>
      <font>
        <color rgb="FFFFFFFF"/>
      </font>
      <fill>
        <patternFill patternType="solid">
          <bgColor rgb="FFC65911"/>
        </patternFill>
      </fill>
    </dxf>
    <dxf>
      <fill>
        <patternFill patternType="solid">
          <bgColor rgb="FFF4B084"/>
        </patternFill>
      </fill>
    </dxf>
    <dxf>
      <fill>
        <patternFill patternType="solid">
          <bgColor rgb="FFFCE4D6"/>
        </patternFill>
      </fill>
    </dxf>
    <dxf>
      <fill>
        <patternFill patternType="solid">
          <bgColor rgb="FFFFFFFF"/>
        </patternFill>
      </fill>
    </dxf>
    <dxf>
      <fill>
        <patternFill patternType="solid">
          <bgColor rgb="FFFFFFFF"/>
        </patternFill>
      </fill>
    </dxf>
    <dxf>
      <font>
        <color rgb="FFFFFFFF"/>
      </font>
      <fill>
        <patternFill patternType="solid">
          <bgColor rgb="FF7030A0"/>
        </patternFill>
      </fill>
    </dxf>
    <dxf>
      <fill>
        <patternFill patternType="solid">
          <bgColor rgb="FFB589D6"/>
        </patternFill>
      </fill>
    </dxf>
    <dxf>
      <fill>
        <patternFill patternType="solid">
          <bgColor rgb="FFF9D4FF"/>
        </patternFill>
      </fill>
    </dxf>
    <dxf>
      <font>
        <color rgb="FFFFFFFF"/>
      </font>
      <fill>
        <patternFill patternType="solid">
          <bgColor rgb="FF2F75B5"/>
        </patternFill>
      </fill>
    </dxf>
    <dxf>
      <fill>
        <patternFill patternType="solid">
          <bgColor rgb="FF9BC2E6"/>
        </patternFill>
      </fill>
    </dxf>
    <dxf>
      <fill>
        <patternFill patternType="solid">
          <bgColor rgb="FFDDEBF7"/>
        </patternFill>
      </fill>
    </dxf>
    <dxf>
      <font>
        <color rgb="FFFFFFFF"/>
      </font>
      <fill>
        <patternFill patternType="solid">
          <bgColor rgb="FF548235"/>
        </patternFill>
      </fill>
    </dxf>
    <dxf>
      <fill>
        <patternFill patternType="solid">
          <bgColor rgb="FFA9D08E"/>
        </patternFill>
      </fill>
    </dxf>
    <dxf>
      <fill>
        <patternFill patternType="solid">
          <bgColor rgb="FFE2EFDA"/>
        </patternFill>
      </fill>
    </dxf>
    <dxf>
      <font>
        <color rgb="FFFFFFFF"/>
      </font>
      <fill>
        <patternFill patternType="solid">
          <bgColor rgb="FFBF8F00"/>
        </patternFill>
      </fill>
    </dxf>
    <dxf>
      <fill>
        <patternFill patternType="solid">
          <bgColor rgb="FFFFD966"/>
        </patternFill>
      </fill>
    </dxf>
    <dxf>
      <fill>
        <patternFill patternType="solid">
          <bgColor rgb="FFFFF2CC"/>
        </patternFill>
      </fill>
    </dxf>
    <dxf>
      <font>
        <color rgb="FFFFFFFF"/>
      </font>
      <fill>
        <patternFill patternType="solid">
          <bgColor rgb="FFC65911"/>
        </patternFill>
      </fill>
    </dxf>
    <dxf>
      <fill>
        <patternFill patternType="solid">
          <bgColor rgb="FFF4B084"/>
        </patternFill>
      </fill>
    </dxf>
    <dxf>
      <fill>
        <patternFill patternType="solid">
          <bgColor rgb="FFFCE4D6"/>
        </patternFill>
      </fill>
    </dxf>
    <dxf>
      <fill>
        <patternFill patternType="solid">
          <bgColor rgb="FFFFFFFF"/>
        </patternFill>
      </fill>
    </dxf>
  </dxfs>
  <tableStyles count="0" defaultTableStyle="TableStyleMedium2" defaultPivotStyle="PivotStyleLight16"/>
  <colors>
    <mruColors>
      <color rgb="FFEBC9F0"/>
      <color rgb="FFB589D6"/>
      <color rgb="FF9969C7"/>
      <color rgb="FFC762E3"/>
      <color rgb="FF45E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0</xdr:rowOff>
    </xdr:from>
    <xdr:ext cx="8277225" cy="4095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276225</xdr:colOff>
      <xdr:row>1</xdr:row>
      <xdr:rowOff>1095375</xdr:rowOff>
    </xdr:to>
    <xdr:pic>
      <xdr:nvPicPr>
        <xdr:cNvPr id="3" name="Picture 2">
          <a:extLst>
            <a:ext uri="{FF2B5EF4-FFF2-40B4-BE49-F238E27FC236}">
              <a16:creationId xmlns:a16="http://schemas.microsoft.com/office/drawing/2014/main" id="{25EBF63C-9FC4-C8D8-93F4-2C5AC7D38AE7}"/>
            </a:ext>
          </a:extLst>
        </xdr:cNvPr>
        <xdr:cNvPicPr>
          <a:picLocks noChangeAspect="1"/>
        </xdr:cNvPicPr>
      </xdr:nvPicPr>
      <xdr:blipFill>
        <a:blip xmlns:r="http://schemas.openxmlformats.org/officeDocument/2006/relationships" r:embed="rId1"/>
        <a:stretch>
          <a:fillRect/>
        </a:stretch>
      </xdr:blipFill>
      <xdr:spPr>
        <a:xfrm>
          <a:off x="152400" y="104775"/>
          <a:ext cx="1609725" cy="10953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unwomen.org/sites/default/files/Headquarters/Attachments/Sections/Library/Publications/2017/IMAGES-MENA-Multi-Country-Report-EN.pdf" TargetMode="External"/><Relationship Id="rId1" Type="http://schemas.openxmlformats.org/officeDocument/2006/relationships/hyperlink" Target="https://data.unicef.org/resources/profile-of-child-marriage-and-early-unions-in-latin-america-and-the-caribbean/"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hum-insight.info/" TargetMode="External"/><Relationship Id="rId13" Type="http://schemas.openxmlformats.org/officeDocument/2006/relationships/hyperlink" Target="https://hum-insight.info/" TargetMode="External"/><Relationship Id="rId3" Type="http://schemas.openxmlformats.org/officeDocument/2006/relationships/hyperlink" Target="https://drmkc.jrc.ec.europa.eu/inform-index/INFORM-Severity/Methodology" TargetMode="External"/><Relationship Id="rId7" Type="http://schemas.openxmlformats.org/officeDocument/2006/relationships/hyperlink" Target="https://hum-insight.info/" TargetMode="External"/><Relationship Id="rId12" Type="http://schemas.openxmlformats.org/officeDocument/2006/relationships/hyperlink" Target="https://www.un.org/preventing-sexual-exploitation-and-abuse/content/un-special-coordinator-0" TargetMode="External"/><Relationship Id="rId17" Type="http://schemas.openxmlformats.org/officeDocument/2006/relationships/hyperlink" Target="https://drmkc.jrc.ec.europa.eu/inform-index/INFORM-Severity/Methodology" TargetMode="External"/><Relationship Id="rId2" Type="http://schemas.openxmlformats.org/officeDocument/2006/relationships/hyperlink" Target="https://www.un.org/preventing-sexual-exploitation-and-abuse/content/data-allegations-un-system-wide" TargetMode="External"/><Relationship Id="rId16" Type="http://schemas.openxmlformats.org/officeDocument/2006/relationships/hyperlink" Target="https://hdr.undp.org/data-center/thematic-composite-indices/gender-inequality-index" TargetMode="External"/><Relationship Id="rId1" Type="http://schemas.openxmlformats.org/officeDocument/2006/relationships/hyperlink" Target="https://genderdata.worldbank.org/" TargetMode="External"/><Relationship Id="rId6" Type="http://schemas.openxmlformats.org/officeDocument/2006/relationships/hyperlink" Target="https://hum-insight.info/" TargetMode="External"/><Relationship Id="rId11" Type="http://schemas.openxmlformats.org/officeDocument/2006/relationships/hyperlink" Target="https://www.un.org/preventing-sexual-exploitation-and-abuse/content/un-special-coordinator-0" TargetMode="External"/><Relationship Id="rId5" Type="http://schemas.openxmlformats.org/officeDocument/2006/relationships/hyperlink" Target="https://drmkc.jrc.ec.europa.eu/inform-index/INFORM-Severity/Methodology" TargetMode="External"/><Relationship Id="rId15" Type="http://schemas.openxmlformats.org/officeDocument/2006/relationships/hyperlink" Target="https://data.unicef.org/resources/data_explorer/unicef_f/?ag=UNICEF&amp;df=GLOBAL_DATAFLOW&amp;ver=1.0&amp;dq=.PT_F_20-24_MRD_U18..&amp;startPeriod=2011&amp;endPeriod=2021" TargetMode="External"/><Relationship Id="rId10" Type="http://schemas.openxmlformats.org/officeDocument/2006/relationships/hyperlink" Target="https://interagencystandingcommittee.org/iasc-secretariat" TargetMode="External"/><Relationship Id="rId4" Type="http://schemas.openxmlformats.org/officeDocument/2006/relationships/hyperlink" Target="https://drmkc.jrc.ec.europa.eu/inform-index/INFORM-Severity/Methodology" TargetMode="External"/><Relationship Id="rId9" Type="http://schemas.openxmlformats.org/officeDocument/2006/relationships/hyperlink" Target="https://interagencystandingcommittee.org/iasc-secretariat" TargetMode="External"/><Relationship Id="rId14" Type="http://schemas.openxmlformats.org/officeDocument/2006/relationships/hyperlink" Target="https://srhr.org/vaw-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5"/>
  <sheetViews>
    <sheetView showGridLines="0" topLeftCell="A19" workbookViewId="0">
      <selection activeCell="A34" sqref="A34"/>
    </sheetView>
  </sheetViews>
  <sheetFormatPr baseColWidth="10" defaultColWidth="11.1640625" defaultRowHeight="15" customHeight="1" x14ac:dyDescent="0.2"/>
  <cols>
    <col min="1" max="1" width="108" customWidth="1"/>
    <col min="2" max="26" width="10.5" customWidth="1"/>
  </cols>
  <sheetData>
    <row r="1" spans="1:1" ht="90.75" customHeight="1" x14ac:dyDescent="1">
      <c r="A1" s="1" t="s">
        <v>0</v>
      </c>
    </row>
    <row r="2" spans="1:1" ht="24" x14ac:dyDescent="0.3">
      <c r="A2" s="2" t="s">
        <v>1</v>
      </c>
    </row>
    <row r="3" spans="1:1" ht="15.75" customHeight="1" x14ac:dyDescent="0.2">
      <c r="A3" s="3" t="s">
        <v>1161</v>
      </c>
    </row>
    <row r="4" spans="1:1" ht="15.75" customHeight="1" x14ac:dyDescent="0.2"/>
    <row r="5" spans="1:1" ht="19" x14ac:dyDescent="0.25">
      <c r="A5" s="288" t="s">
        <v>2</v>
      </c>
    </row>
    <row r="6" spans="1:1" s="290" customFormat="1" ht="135.75" customHeight="1" x14ac:dyDescent="0.2">
      <c r="A6" s="289" t="s">
        <v>3</v>
      </c>
    </row>
    <row r="7" spans="1:1" ht="15.75" customHeight="1" x14ac:dyDescent="0.2">
      <c r="A7" s="5"/>
    </row>
    <row r="8" spans="1:1" ht="15.75" customHeight="1" x14ac:dyDescent="0.25">
      <c r="A8" s="288" t="s">
        <v>4</v>
      </c>
    </row>
    <row r="9" spans="1:1" s="290" customFormat="1" ht="46.5" customHeight="1" x14ac:dyDescent="0.2">
      <c r="A9" s="289" t="s">
        <v>5</v>
      </c>
    </row>
    <row r="10" spans="1:1" ht="15.75" customHeight="1" x14ac:dyDescent="0.2">
      <c r="A10" s="5"/>
    </row>
    <row r="11" spans="1:1" ht="19" x14ac:dyDescent="0.25">
      <c r="A11" s="288" t="s">
        <v>6</v>
      </c>
    </row>
    <row r="12" spans="1:1" ht="150" customHeight="1" x14ac:dyDescent="0.2">
      <c r="A12" s="289" t="s">
        <v>7</v>
      </c>
    </row>
    <row r="13" spans="1:1" ht="322.5" customHeight="1" x14ac:dyDescent="0.2">
      <c r="A13" s="6"/>
    </row>
    <row r="14" spans="1:1" ht="15.75" customHeight="1" x14ac:dyDescent="0.2">
      <c r="A14" s="5"/>
    </row>
    <row r="15" spans="1:1" ht="19" x14ac:dyDescent="0.25">
      <c r="A15" s="288" t="s">
        <v>8</v>
      </c>
    </row>
    <row r="16" spans="1:1" ht="30.75" customHeight="1" x14ac:dyDescent="0.2">
      <c r="A16" s="289" t="s">
        <v>1168</v>
      </c>
    </row>
    <row r="17" spans="1:26" ht="15.75" customHeight="1" x14ac:dyDescent="0.2">
      <c r="A17" s="7"/>
    </row>
    <row r="18" spans="1:26" ht="19" x14ac:dyDescent="0.25">
      <c r="A18" s="288" t="s">
        <v>9</v>
      </c>
    </row>
    <row r="19" spans="1:26" ht="145.5" customHeight="1" x14ac:dyDescent="0.2">
      <c r="A19" s="289" t="s">
        <v>10</v>
      </c>
    </row>
    <row r="20" spans="1:26" ht="15.75" customHeight="1" x14ac:dyDescent="0.2">
      <c r="A20" s="7"/>
    </row>
    <row r="21" spans="1:26" ht="19" x14ac:dyDescent="0.25">
      <c r="A21" s="288" t="s">
        <v>11</v>
      </c>
    </row>
    <row r="22" spans="1:26" ht="30" x14ac:dyDescent="0.2">
      <c r="A22" s="289" t="s">
        <v>1162</v>
      </c>
    </row>
    <row r="23" spans="1:26" ht="15.75" customHeight="1" x14ac:dyDescent="0.2">
      <c r="A23" s="4"/>
    </row>
    <row r="24" spans="1:26" ht="32.25" customHeight="1" x14ac:dyDescent="0.25">
      <c r="A24" s="288" t="s">
        <v>12</v>
      </c>
    </row>
    <row r="25" spans="1:26" ht="48.75" customHeight="1" x14ac:dyDescent="0.2">
      <c r="A25" s="289" t="s">
        <v>1163</v>
      </c>
    </row>
    <row r="26" spans="1:26" ht="15.75" customHeight="1" x14ac:dyDescent="0.2">
      <c r="A26" s="4"/>
    </row>
    <row r="27" spans="1:26" ht="32.25" customHeight="1" x14ac:dyDescent="0.25">
      <c r="A27" s="288" t="s">
        <v>13</v>
      </c>
    </row>
    <row r="28" spans="1:26" ht="117.75" customHeight="1" x14ac:dyDescent="0.2">
      <c r="A28" s="289" t="s">
        <v>14</v>
      </c>
    </row>
    <row r="29" spans="1:26" ht="15.75" customHeight="1" x14ac:dyDescent="0.2">
      <c r="A29" s="7"/>
    </row>
    <row r="30" spans="1:26" ht="19" x14ac:dyDescent="0.25">
      <c r="A30" s="288" t="s">
        <v>15</v>
      </c>
      <c r="B30" s="7"/>
      <c r="C30" s="7"/>
      <c r="D30" s="7"/>
      <c r="E30" s="7"/>
      <c r="F30" s="7"/>
      <c r="G30" s="7"/>
      <c r="H30" s="7"/>
      <c r="I30" s="7"/>
      <c r="J30" s="7"/>
      <c r="K30" s="7"/>
      <c r="L30" s="7"/>
      <c r="M30" s="7"/>
      <c r="N30" s="7"/>
      <c r="O30" s="7"/>
      <c r="P30" s="7"/>
      <c r="Q30" s="7"/>
      <c r="R30" s="7"/>
      <c r="S30" s="7"/>
      <c r="T30" s="7"/>
      <c r="U30" s="7"/>
      <c r="V30" s="7"/>
      <c r="W30" s="7"/>
      <c r="X30" s="7"/>
      <c r="Y30" s="7"/>
      <c r="Z30" s="7"/>
    </row>
    <row r="31" spans="1:26" ht="39.75" customHeight="1" x14ac:dyDescent="0.2">
      <c r="A31" s="289" t="s">
        <v>1164</v>
      </c>
    </row>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sheetData>
  <sheetProtection sheet="1" objects="1" scenario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B5F4-4E89-4C1D-B4C4-B2EEA8C1605D}">
  <sheetPr>
    <tabColor rgb="FFFFFFFF"/>
  </sheetPr>
  <dimension ref="A1:AN971"/>
  <sheetViews>
    <sheetView showGridLines="0" tabSelected="1" zoomScaleNormal="100" workbookViewId="0">
      <selection activeCell="AI5" sqref="AI5"/>
    </sheetView>
  </sheetViews>
  <sheetFormatPr baseColWidth="10" defaultColWidth="11.1640625" defaultRowHeight="15" customHeight="1" x14ac:dyDescent="0.2"/>
  <cols>
    <col min="1" max="1" width="2" customWidth="1"/>
    <col min="2" max="2" width="11.6640625" bestFit="1" customWidth="1"/>
    <col min="3" max="3" width="5.83203125" customWidth="1"/>
    <col min="4" max="4" width="5.33203125" customWidth="1"/>
    <col min="5" max="32" width="4.1640625" style="24" customWidth="1"/>
    <col min="33" max="33" width="4.1640625" style="217" customWidth="1"/>
    <col min="34" max="39" width="9"/>
    <col min="40" max="41" width="10.5" customWidth="1"/>
    <col min="42" max="42" width="9"/>
  </cols>
  <sheetData>
    <row r="1" spans="1:40" s="161" customFormat="1" ht="8.25" customHeight="1" x14ac:dyDescent="0.2">
      <c r="B1" s="138"/>
      <c r="C1" s="138"/>
      <c r="D1" s="25"/>
      <c r="E1" s="117"/>
      <c r="F1" s="117"/>
      <c r="G1" s="117"/>
      <c r="H1" s="266"/>
      <c r="I1" s="266"/>
      <c r="J1" s="266"/>
      <c r="K1" s="266"/>
      <c r="L1" s="266"/>
      <c r="M1" s="117"/>
      <c r="N1" s="117"/>
      <c r="O1" s="266"/>
      <c r="P1" s="266"/>
      <c r="Q1" s="266"/>
      <c r="R1" s="266"/>
      <c r="S1" s="266"/>
      <c r="T1" s="117"/>
      <c r="U1" s="117"/>
      <c r="V1" s="266"/>
      <c r="W1" s="266"/>
      <c r="X1" s="266"/>
      <c r="Y1" s="266"/>
      <c r="Z1" s="266"/>
      <c r="AA1" s="117"/>
      <c r="AB1" s="117"/>
      <c r="AC1" s="266"/>
      <c r="AD1" s="266"/>
      <c r="AE1" s="266"/>
      <c r="AF1" s="266"/>
      <c r="AG1" s="266"/>
    </row>
    <row r="2" spans="1:40" s="40" customFormat="1" ht="130.5" customHeight="1" x14ac:dyDescent="0.2">
      <c r="A2" s="41"/>
      <c r="B2" s="371" t="s">
        <v>1166</v>
      </c>
      <c r="C2" s="371"/>
      <c r="D2" s="372"/>
      <c r="E2" s="250" t="s">
        <v>16</v>
      </c>
      <c r="F2" s="248" t="s">
        <v>17</v>
      </c>
      <c r="G2" s="157" t="s">
        <v>18</v>
      </c>
      <c r="H2" s="333" t="s">
        <v>19</v>
      </c>
      <c r="I2" s="333" t="s">
        <v>20</v>
      </c>
      <c r="J2" s="157" t="s">
        <v>21</v>
      </c>
      <c r="K2" s="333" t="s">
        <v>22</v>
      </c>
      <c r="L2" s="333" t="s">
        <v>23</v>
      </c>
      <c r="M2" s="246" t="s">
        <v>24</v>
      </c>
      <c r="N2" s="157" t="s">
        <v>25</v>
      </c>
      <c r="O2" s="333" t="s">
        <v>26</v>
      </c>
      <c r="P2" s="333" t="s">
        <v>27</v>
      </c>
      <c r="Q2" s="157" t="s">
        <v>28</v>
      </c>
      <c r="R2" s="333" t="s">
        <v>29</v>
      </c>
      <c r="S2" s="333" t="s">
        <v>30</v>
      </c>
      <c r="T2" s="252" t="s">
        <v>31</v>
      </c>
      <c r="U2" s="157" t="s">
        <v>32</v>
      </c>
      <c r="V2" s="327" t="s">
        <v>33</v>
      </c>
      <c r="W2" s="327" t="s">
        <v>34</v>
      </c>
      <c r="X2" s="157" t="s">
        <v>35</v>
      </c>
      <c r="Y2" s="327" t="s">
        <v>36</v>
      </c>
      <c r="Z2" s="327" t="s">
        <v>37</v>
      </c>
      <c r="AA2" s="254" t="s">
        <v>38</v>
      </c>
      <c r="AB2" s="157" t="s">
        <v>39</v>
      </c>
      <c r="AC2" s="333" t="s">
        <v>40</v>
      </c>
      <c r="AD2" s="333" t="s">
        <v>41</v>
      </c>
      <c r="AE2" s="157" t="s">
        <v>42</v>
      </c>
      <c r="AF2" s="333" t="s">
        <v>43</v>
      </c>
      <c r="AG2" s="333" t="s">
        <v>44</v>
      </c>
    </row>
    <row r="3" spans="1:40" ht="17.25" customHeight="1" thickBot="1" x14ac:dyDescent="0.25">
      <c r="A3" s="20"/>
      <c r="B3" s="131" t="s">
        <v>45</v>
      </c>
      <c r="C3" s="131" t="s">
        <v>46</v>
      </c>
      <c r="D3" s="132" t="s">
        <v>47</v>
      </c>
      <c r="E3" s="251"/>
      <c r="F3" s="249"/>
      <c r="G3" s="140"/>
      <c r="H3" s="141"/>
      <c r="I3" s="141"/>
      <c r="J3" s="141"/>
      <c r="K3" s="141"/>
      <c r="L3" s="141"/>
      <c r="M3" s="247"/>
      <c r="N3" s="142"/>
      <c r="O3" s="143"/>
      <c r="P3" s="143"/>
      <c r="Q3" s="143"/>
      <c r="R3" s="143"/>
      <c r="S3" s="143"/>
      <c r="T3" s="253"/>
      <c r="U3" s="144"/>
      <c r="V3" s="133"/>
      <c r="W3" s="133"/>
      <c r="X3" s="133"/>
      <c r="Y3" s="133"/>
      <c r="Z3" s="133"/>
      <c r="AA3" s="255"/>
      <c r="AB3" s="145"/>
      <c r="AC3" s="134"/>
      <c r="AD3" s="134"/>
      <c r="AE3" s="134"/>
      <c r="AF3" s="134"/>
      <c r="AG3" s="134"/>
    </row>
    <row r="4" spans="1:40" s="135" customFormat="1" ht="15.75" customHeight="1" thickTop="1" thickBot="1" x14ac:dyDescent="0.25">
      <c r="A4" s="155"/>
      <c r="B4" s="365" t="s">
        <v>51</v>
      </c>
      <c r="C4" s="365" t="s">
        <v>49</v>
      </c>
      <c r="D4" s="365" t="s">
        <v>52</v>
      </c>
      <c r="E4" s="137">
        <v>7.5023102772798973</v>
      </c>
      <c r="F4" s="137">
        <v>7.6641666666666666</v>
      </c>
      <c r="G4" s="137">
        <v>9.1016666666666666</v>
      </c>
      <c r="H4" s="137">
        <v>9.870000000000001</v>
      </c>
      <c r="I4" s="137">
        <v>8.3333333333333321</v>
      </c>
      <c r="J4" s="137">
        <v>6.2266666666666666</v>
      </c>
      <c r="K4" s="137">
        <v>4.2533333333333339</v>
      </c>
      <c r="L4" s="137">
        <v>8.1999999999999993</v>
      </c>
      <c r="M4" s="137">
        <v>8.8170654812829916</v>
      </c>
      <c r="N4" s="137">
        <v>9.3875000000000011</v>
      </c>
      <c r="O4" s="137">
        <v>8.8750000000000018</v>
      </c>
      <c r="P4" s="137">
        <v>9.9</v>
      </c>
      <c r="Q4" s="137">
        <v>8.2466309625659839</v>
      </c>
      <c r="R4" s="137">
        <v>9.4562248880949316</v>
      </c>
      <c r="S4" s="137">
        <v>7.0370370370370372</v>
      </c>
      <c r="T4" s="137">
        <v>6.9769180520790215</v>
      </c>
      <c r="U4" s="137">
        <v>5.0904546823246015</v>
      </c>
      <c r="V4" s="137">
        <v>5.2005420054200542</v>
      </c>
      <c r="W4" s="137">
        <v>4.980367359229148</v>
      </c>
      <c r="X4" s="137">
        <v>8.8633814218334415</v>
      </c>
      <c r="Y4" s="137">
        <v>9.9</v>
      </c>
      <c r="Z4" s="137">
        <v>7.8267628436668835</v>
      </c>
      <c r="AA4" s="137">
        <v>6.5510909090909095</v>
      </c>
      <c r="AB4" s="137">
        <v>6.234</v>
      </c>
      <c r="AC4" s="137">
        <v>3.9800000000000004</v>
      </c>
      <c r="AD4" s="137">
        <v>8.4879999999999995</v>
      </c>
      <c r="AE4" s="137">
        <v>6.8681818181818182</v>
      </c>
      <c r="AF4" s="137">
        <v>6.4363636363636365</v>
      </c>
      <c r="AG4" s="218">
        <v>7.3</v>
      </c>
      <c r="AN4" s="40"/>
    </row>
    <row r="5" spans="1:40" s="135" customFormat="1" ht="15.75" customHeight="1" thickTop="1" thickBot="1" x14ac:dyDescent="0.25">
      <c r="A5" s="155"/>
      <c r="B5" s="365" t="s">
        <v>48</v>
      </c>
      <c r="C5" s="365" t="s">
        <v>49</v>
      </c>
      <c r="D5" s="365" t="s">
        <v>50</v>
      </c>
      <c r="E5" s="137">
        <v>7.4365943375563415</v>
      </c>
      <c r="F5" s="137">
        <v>7.4977777777777783</v>
      </c>
      <c r="G5" s="137">
        <v>7.7083333333333339</v>
      </c>
      <c r="H5" s="137">
        <v>8</v>
      </c>
      <c r="I5" s="137">
        <v>7.416666666666667</v>
      </c>
      <c r="J5" s="137">
        <v>7.2872222222222227</v>
      </c>
      <c r="K5" s="137">
        <v>7.9244444444444442</v>
      </c>
      <c r="L5" s="137">
        <v>6.65</v>
      </c>
      <c r="M5" s="137">
        <v>8.7961921052576901</v>
      </c>
      <c r="N5" s="137">
        <v>9.1166666666666671</v>
      </c>
      <c r="O5" s="137">
        <v>9.9</v>
      </c>
      <c r="P5" s="137">
        <v>8.3333333333333339</v>
      </c>
      <c r="Q5" s="137">
        <v>8.4757175438487131</v>
      </c>
      <c r="R5" s="137">
        <v>9.1736573099196494</v>
      </c>
      <c r="S5" s="137">
        <v>7.7777777777777777</v>
      </c>
      <c r="T5" s="137">
        <v>7.3509431814756097</v>
      </c>
      <c r="U5" s="137">
        <v>5.6415184764787494</v>
      </c>
      <c r="V5" s="137">
        <v>5.8762769580022702</v>
      </c>
      <c r="W5" s="137">
        <v>5.4067599949552276</v>
      </c>
      <c r="X5" s="137">
        <v>9.0603678864724699</v>
      </c>
      <c r="Y5" s="137">
        <v>9.9</v>
      </c>
      <c r="Z5" s="137">
        <v>8.2207357729449377</v>
      </c>
      <c r="AA5" s="137">
        <v>6.101464285714286</v>
      </c>
      <c r="AB5" s="137">
        <v>6.2814999999999994</v>
      </c>
      <c r="AC5" s="137">
        <v>3.8050000000000002</v>
      </c>
      <c r="AD5" s="137">
        <v>8.7579999999999991</v>
      </c>
      <c r="AE5" s="137">
        <v>5.9214285714285717</v>
      </c>
      <c r="AF5" s="137">
        <v>4.9428571428571431</v>
      </c>
      <c r="AG5" s="218">
        <v>6.9</v>
      </c>
      <c r="AN5" s="40"/>
    </row>
    <row r="6" spans="1:40" s="135" customFormat="1" ht="15.75" customHeight="1" thickTop="1" thickBot="1" x14ac:dyDescent="0.25">
      <c r="A6" s="155"/>
      <c r="B6" s="365" t="s">
        <v>63</v>
      </c>
      <c r="C6" s="365" t="s">
        <v>49</v>
      </c>
      <c r="D6" s="365" t="s">
        <v>64</v>
      </c>
      <c r="E6" s="137">
        <v>6.8548058993616277</v>
      </c>
      <c r="F6" s="137">
        <v>7.3091666666666661</v>
      </c>
      <c r="G6" s="137">
        <v>7.75</v>
      </c>
      <c r="H6" s="137">
        <v>8</v>
      </c>
      <c r="I6" s="137">
        <v>7.4999999999999991</v>
      </c>
      <c r="J6" s="137">
        <v>6.8683333333333332</v>
      </c>
      <c r="K6" s="137">
        <v>7.6866666666666665</v>
      </c>
      <c r="L6" s="137">
        <v>6.05</v>
      </c>
      <c r="M6" s="137">
        <v>7.1883029007633912</v>
      </c>
      <c r="N6" s="137">
        <v>6.7291666666666679</v>
      </c>
      <c r="O6" s="137">
        <v>5.1250000000000009</v>
      </c>
      <c r="P6" s="137">
        <v>8.3333333333333339</v>
      </c>
      <c r="Q6" s="137">
        <v>7.6474391348601154</v>
      </c>
      <c r="R6" s="137">
        <v>7.5171004919424531</v>
      </c>
      <c r="S6" s="137">
        <v>7.7777777777777777</v>
      </c>
      <c r="T6" s="137">
        <v>6.4800849652682526</v>
      </c>
      <c r="U6" s="137">
        <v>4.7697351994217749</v>
      </c>
      <c r="V6" s="137">
        <v>4.2584269662921344</v>
      </c>
      <c r="W6" s="137">
        <v>5.2810434325514155</v>
      </c>
      <c r="X6" s="137">
        <v>8.1904347311147294</v>
      </c>
      <c r="Y6" s="137">
        <v>9.9</v>
      </c>
      <c r="Z6" s="137">
        <v>6.4808694622294585</v>
      </c>
      <c r="AA6" s="137">
        <v>6.4416690647482016</v>
      </c>
      <c r="AB6" s="137">
        <v>6.0060000000000002</v>
      </c>
      <c r="AC6" s="137">
        <v>4.1899999999999995</v>
      </c>
      <c r="AD6" s="137">
        <v>7.8220000000000001</v>
      </c>
      <c r="AE6" s="137">
        <v>6.8773381294964029</v>
      </c>
      <c r="AF6" s="137">
        <v>8.4546762589928051</v>
      </c>
      <c r="AG6" s="218">
        <v>5.3</v>
      </c>
      <c r="AN6" s="40"/>
    </row>
    <row r="7" spans="1:40" s="135" customFormat="1" ht="15.75" customHeight="1" thickTop="1" thickBot="1" x14ac:dyDescent="0.25">
      <c r="A7" s="155"/>
      <c r="B7" s="365" t="s">
        <v>55</v>
      </c>
      <c r="C7" s="365" t="s">
        <v>49</v>
      </c>
      <c r="D7" s="365" t="s">
        <v>56</v>
      </c>
      <c r="E7" s="137">
        <v>6.8368270009473031</v>
      </c>
      <c r="F7" s="137">
        <v>6.9883333333333333</v>
      </c>
      <c r="G7" s="137">
        <v>8.5916666666666668</v>
      </c>
      <c r="H7" s="137">
        <v>8.6</v>
      </c>
      <c r="I7" s="137">
        <v>8.5833333333333339</v>
      </c>
      <c r="J7" s="137">
        <v>5.3849999999999998</v>
      </c>
      <c r="K7" s="137">
        <v>5.9</v>
      </c>
      <c r="L7" s="137">
        <v>4.87</v>
      </c>
      <c r="M7" s="137">
        <v>8.4275223847250444</v>
      </c>
      <c r="N7" s="137">
        <v>9.0416666666666679</v>
      </c>
      <c r="O7" s="137">
        <v>9.75</v>
      </c>
      <c r="P7" s="137">
        <v>8.3333333333333339</v>
      </c>
      <c r="Q7" s="137">
        <v>7.8133781027834193</v>
      </c>
      <c r="R7" s="137">
        <v>9.3304599092705427</v>
      </c>
      <c r="S7" s="137">
        <v>6.2962962962962967</v>
      </c>
      <c r="T7" s="137">
        <v>6.7999522857308339</v>
      </c>
      <c r="U7" s="137">
        <v>4.8781959378733575</v>
      </c>
      <c r="V7" s="137">
        <v>4.618279569892473</v>
      </c>
      <c r="W7" s="137">
        <v>5.1381123058542411</v>
      </c>
      <c r="X7" s="137">
        <v>8.7217086335883103</v>
      </c>
      <c r="Y7" s="137">
        <v>9.9</v>
      </c>
      <c r="Z7" s="137">
        <v>7.5434172671766184</v>
      </c>
      <c r="AA7" s="137">
        <v>5.1315</v>
      </c>
      <c r="AB7" s="137">
        <v>5.6379999999999999</v>
      </c>
      <c r="AC7" s="137">
        <v>3.49</v>
      </c>
      <c r="AD7" s="137">
        <v>7.7859999999999996</v>
      </c>
      <c r="AE7" s="137">
        <v>4.625</v>
      </c>
      <c r="AF7" s="137">
        <v>4.45</v>
      </c>
      <c r="AG7" s="218">
        <v>4.8</v>
      </c>
      <c r="AN7" s="40"/>
    </row>
    <row r="8" spans="1:40" s="135" customFormat="1" ht="15.75" customHeight="1" thickTop="1" thickBot="1" x14ac:dyDescent="0.25">
      <c r="A8" s="155"/>
      <c r="B8" s="365" t="s">
        <v>57</v>
      </c>
      <c r="C8" s="365" t="s">
        <v>49</v>
      </c>
      <c r="D8" s="365" t="s">
        <v>58</v>
      </c>
      <c r="E8" s="137">
        <v>6.7994737494236208</v>
      </c>
      <c r="F8" s="137">
        <v>6.8991666666666669</v>
      </c>
      <c r="G8" s="137">
        <v>8.8983333333333334</v>
      </c>
      <c r="H8" s="137">
        <v>8.629999999999999</v>
      </c>
      <c r="I8" s="137">
        <v>9.1666666666666679</v>
      </c>
      <c r="J8" s="137">
        <v>4.9000000000000004</v>
      </c>
      <c r="K8" s="137">
        <v>3.06</v>
      </c>
      <c r="L8" s="137">
        <v>6.74</v>
      </c>
      <c r="M8" s="137">
        <v>8.501434149647757</v>
      </c>
      <c r="N8" s="137">
        <v>9.4375</v>
      </c>
      <c r="O8" s="137">
        <v>9.375</v>
      </c>
      <c r="P8" s="137">
        <v>9.4999999999999982</v>
      </c>
      <c r="Q8" s="137">
        <v>7.5653682992955122</v>
      </c>
      <c r="R8" s="137">
        <v>7.3529588208132459</v>
      </c>
      <c r="S8" s="137">
        <v>7.7777777777777777</v>
      </c>
      <c r="T8" s="137">
        <v>6.3702941813800606</v>
      </c>
      <c r="U8" s="137">
        <v>5.3406442272891779</v>
      </c>
      <c r="V8" s="137">
        <v>5.4625407166123772</v>
      </c>
      <c r="W8" s="137">
        <v>5.2187477379659786</v>
      </c>
      <c r="X8" s="137">
        <v>7.3999441354709434</v>
      </c>
      <c r="Y8" s="137">
        <v>8.2942554286365642</v>
      </c>
      <c r="Z8" s="137">
        <v>6.5056328423053227</v>
      </c>
      <c r="AA8" s="137">
        <v>5.4269999999999996</v>
      </c>
      <c r="AB8" s="137">
        <v>5.0140000000000002</v>
      </c>
      <c r="AC8" s="137">
        <v>3.49</v>
      </c>
      <c r="AD8" s="137">
        <v>6.5380000000000003</v>
      </c>
      <c r="AE8" s="137">
        <v>5.84</v>
      </c>
      <c r="AF8" s="137">
        <v>5.68</v>
      </c>
      <c r="AG8" s="218">
        <v>6</v>
      </c>
      <c r="AN8" s="40"/>
    </row>
    <row r="9" spans="1:40" s="135" customFormat="1" ht="15.75" customHeight="1" thickTop="1" thickBot="1" x14ac:dyDescent="0.25">
      <c r="A9" s="155"/>
      <c r="B9" s="365" t="s">
        <v>53</v>
      </c>
      <c r="C9" s="365" t="s">
        <v>49</v>
      </c>
      <c r="D9" s="365" t="s">
        <v>54</v>
      </c>
      <c r="E9" s="137">
        <v>6.687291452961718</v>
      </c>
      <c r="F9" s="137">
        <v>6.8125000000000009</v>
      </c>
      <c r="G9" s="137">
        <v>8.0750000000000011</v>
      </c>
      <c r="H9" s="137">
        <v>8.4</v>
      </c>
      <c r="I9" s="137">
        <v>7.7500000000000018</v>
      </c>
      <c r="J9" s="137">
        <v>5.5500000000000007</v>
      </c>
      <c r="K9" s="137">
        <v>5.62</v>
      </c>
      <c r="L9" s="137">
        <v>5.48</v>
      </c>
      <c r="M9" s="137">
        <v>9.1545187215035639</v>
      </c>
      <c r="N9" s="137">
        <v>9.9</v>
      </c>
      <c r="O9" s="137">
        <v>9.9</v>
      </c>
      <c r="P9" s="137">
        <v>9.9</v>
      </c>
      <c r="Q9" s="137">
        <v>8.4090374430071257</v>
      </c>
      <c r="R9" s="137">
        <v>8.6699267378661027</v>
      </c>
      <c r="S9" s="137">
        <v>8.148148148148147</v>
      </c>
      <c r="T9" s="137">
        <v>5.6746470903433091</v>
      </c>
      <c r="U9" s="137">
        <v>4.8309264754368613</v>
      </c>
      <c r="V9" s="137">
        <v>4.6617210682492587</v>
      </c>
      <c r="W9" s="137">
        <v>5.0001318826244638</v>
      </c>
      <c r="X9" s="137">
        <v>6.5183677052497568</v>
      </c>
      <c r="Y9" s="137">
        <v>6.3877594792209127</v>
      </c>
      <c r="Z9" s="137">
        <v>6.648975931278601</v>
      </c>
      <c r="AA9" s="137">
        <v>5.1074999999999999</v>
      </c>
      <c r="AB9" s="137">
        <v>5.4149999999999991</v>
      </c>
      <c r="AC9" s="137">
        <v>4.1899999999999995</v>
      </c>
      <c r="AD9" s="137">
        <v>6.64</v>
      </c>
      <c r="AE9" s="137">
        <v>4.8</v>
      </c>
      <c r="AF9" s="137">
        <v>4</v>
      </c>
      <c r="AG9" s="218">
        <v>5.6</v>
      </c>
      <c r="AN9" s="40"/>
    </row>
    <row r="10" spans="1:40" s="135" customFormat="1" ht="15.75" customHeight="1" thickTop="1" thickBot="1" x14ac:dyDescent="0.25">
      <c r="A10" s="155"/>
      <c r="B10" s="365" t="s">
        <v>59</v>
      </c>
      <c r="C10" s="365" t="s">
        <v>49</v>
      </c>
      <c r="D10" s="365" t="s">
        <v>60</v>
      </c>
      <c r="E10" s="137">
        <v>6.6619547414953342</v>
      </c>
      <c r="F10" s="137">
        <v>7.5980555555555549</v>
      </c>
      <c r="G10" s="137">
        <v>8.0833333333333321</v>
      </c>
      <c r="H10" s="137">
        <v>8</v>
      </c>
      <c r="I10" s="137">
        <v>8.1666666666666661</v>
      </c>
      <c r="J10" s="137">
        <v>7.1127777777777776</v>
      </c>
      <c r="K10" s="137">
        <v>8.3555555555555561</v>
      </c>
      <c r="L10" s="137">
        <v>5.8699999999999992</v>
      </c>
      <c r="M10" s="137">
        <v>7.692794171419278</v>
      </c>
      <c r="N10" s="137">
        <v>7.8125</v>
      </c>
      <c r="O10" s="137">
        <v>9.125</v>
      </c>
      <c r="P10" s="137">
        <v>6.5</v>
      </c>
      <c r="Q10" s="137">
        <v>7.5730883428385551</v>
      </c>
      <c r="R10" s="137">
        <v>6.9980285375289633</v>
      </c>
      <c r="S10" s="137">
        <v>8.148148148148147</v>
      </c>
      <c r="T10" s="137">
        <v>5.5152953259630246</v>
      </c>
      <c r="U10" s="137">
        <v>4.7718757299696328</v>
      </c>
      <c r="V10" s="137">
        <v>4.3048353188507358</v>
      </c>
      <c r="W10" s="137">
        <v>5.2389161410885308</v>
      </c>
      <c r="X10" s="137">
        <v>6.2587149219564164</v>
      </c>
      <c r="Y10" s="137">
        <v>6.2265150996723264</v>
      </c>
      <c r="Z10" s="137">
        <v>6.2909147442405056</v>
      </c>
      <c r="AA10" s="137">
        <v>5.8416739130434783</v>
      </c>
      <c r="AB10" s="137">
        <v>5.7789999999999999</v>
      </c>
      <c r="AC10" s="137">
        <v>3.49</v>
      </c>
      <c r="AD10" s="137">
        <v>8.0679999999999996</v>
      </c>
      <c r="AE10" s="137">
        <v>5.9043478260869566</v>
      </c>
      <c r="AF10" s="137">
        <v>5.4086956521739129</v>
      </c>
      <c r="AG10" s="218">
        <v>6.4</v>
      </c>
      <c r="AN10" s="40"/>
    </row>
    <row r="11" spans="1:40" s="135" customFormat="1" ht="15.75" customHeight="1" thickTop="1" thickBot="1" x14ac:dyDescent="0.25">
      <c r="A11" s="155"/>
      <c r="B11" s="365" t="s">
        <v>61</v>
      </c>
      <c r="C11" s="365" t="s">
        <v>49</v>
      </c>
      <c r="D11" s="365" t="s">
        <v>62</v>
      </c>
      <c r="E11" s="137">
        <v>6.4995959678047379</v>
      </c>
      <c r="F11" s="137">
        <v>5.6311111111111112</v>
      </c>
      <c r="G11" s="137">
        <v>5.75</v>
      </c>
      <c r="H11" s="137">
        <v>6</v>
      </c>
      <c r="I11" s="137">
        <v>5.4999999999999991</v>
      </c>
      <c r="J11" s="137">
        <v>5.5122222222222224</v>
      </c>
      <c r="K11" s="137">
        <v>6.0844444444444443</v>
      </c>
      <c r="L11" s="137">
        <v>4.9399999999999995</v>
      </c>
      <c r="M11" s="137">
        <v>8.4699582465878649</v>
      </c>
      <c r="N11" s="137">
        <v>8.2833333333333332</v>
      </c>
      <c r="O11" s="137">
        <v>9.9</v>
      </c>
      <c r="P11" s="137">
        <v>6.6666666666666661</v>
      </c>
      <c r="Q11" s="137">
        <v>8.6565831598423983</v>
      </c>
      <c r="R11" s="137">
        <v>9.5353885419070181</v>
      </c>
      <c r="S11" s="137">
        <v>7.7777777777777777</v>
      </c>
      <c r="T11" s="137">
        <v>6.878814513519977</v>
      </c>
      <c r="U11" s="137">
        <v>4.9852255525280054</v>
      </c>
      <c r="V11" s="137">
        <v>4.7929155313351499</v>
      </c>
      <c r="W11" s="137">
        <v>5.1775355737208599</v>
      </c>
      <c r="X11" s="137">
        <v>8.7724034745119486</v>
      </c>
      <c r="Y11" s="137">
        <v>9.9</v>
      </c>
      <c r="Z11" s="137">
        <v>7.6448069490238977</v>
      </c>
      <c r="AA11" s="137">
        <v>5.0184999999999995</v>
      </c>
      <c r="AB11" s="137">
        <v>5.5619999999999994</v>
      </c>
      <c r="AC11" s="137">
        <v>4.1899999999999995</v>
      </c>
      <c r="AD11" s="137">
        <v>6.9340000000000002</v>
      </c>
      <c r="AE11" s="137">
        <v>4.4749999999999996</v>
      </c>
      <c r="AF11" s="137">
        <v>4.45</v>
      </c>
      <c r="AG11" s="218">
        <v>4.5</v>
      </c>
      <c r="AN11" s="40"/>
    </row>
    <row r="12" spans="1:40" s="135" customFormat="1" ht="15.75" customHeight="1" thickTop="1" thickBot="1" x14ac:dyDescent="0.25">
      <c r="A12" s="155"/>
      <c r="B12" s="365" t="s">
        <v>71</v>
      </c>
      <c r="C12" s="365" t="s">
        <v>49</v>
      </c>
      <c r="D12" s="365" t="s">
        <v>72</v>
      </c>
      <c r="E12" s="137">
        <v>6.394847764864525</v>
      </c>
      <c r="F12" s="137">
        <v>6.1022222222222222</v>
      </c>
      <c r="G12" s="137">
        <v>6.7050000000000001</v>
      </c>
      <c r="H12" s="137">
        <v>6.66</v>
      </c>
      <c r="I12" s="137">
        <v>6.7499999999999991</v>
      </c>
      <c r="J12" s="137">
        <v>5.4994444444444444</v>
      </c>
      <c r="K12" s="137">
        <v>4.7888888888888888</v>
      </c>
      <c r="L12" s="137">
        <v>6.21</v>
      </c>
      <c r="M12" s="137">
        <v>6.8098855692121232</v>
      </c>
      <c r="N12" s="137">
        <v>8.1041666666666661</v>
      </c>
      <c r="O12" s="137">
        <v>6.875</v>
      </c>
      <c r="P12" s="137">
        <v>9.3333333333333321</v>
      </c>
      <c r="Q12" s="137">
        <v>5.5156044717575803</v>
      </c>
      <c r="R12" s="137">
        <v>5.1052830175892341</v>
      </c>
      <c r="S12" s="137">
        <v>5.9259259259259256</v>
      </c>
      <c r="T12" s="137">
        <v>5.7109975537380429</v>
      </c>
      <c r="U12" s="137">
        <v>5.164060356652949</v>
      </c>
      <c r="V12" s="137">
        <v>4.8271604938271606</v>
      </c>
      <c r="W12" s="137">
        <v>5.5009602194787375</v>
      </c>
      <c r="X12" s="137">
        <v>6.2579347508231358</v>
      </c>
      <c r="Y12" s="137">
        <v>7.6042037302689067</v>
      </c>
      <c r="Z12" s="137">
        <v>4.9116657713773657</v>
      </c>
      <c r="AA12" s="137">
        <v>6.9562857142857135</v>
      </c>
      <c r="AB12" s="137">
        <v>5.6839999999999993</v>
      </c>
      <c r="AC12" s="137">
        <v>4.05</v>
      </c>
      <c r="AD12" s="137">
        <v>7.3179999999999996</v>
      </c>
      <c r="AE12" s="137">
        <v>8.2285714285714278</v>
      </c>
      <c r="AF12" s="137">
        <v>9.6571428571428566</v>
      </c>
      <c r="AG12" s="218">
        <v>6.8</v>
      </c>
      <c r="AN12" s="40"/>
    </row>
    <row r="13" spans="1:40" s="135" customFormat="1" ht="15.75" customHeight="1" thickTop="1" thickBot="1" x14ac:dyDescent="0.25">
      <c r="A13" s="155"/>
      <c r="B13" s="365" t="s">
        <v>65</v>
      </c>
      <c r="C13" s="365" t="s">
        <v>49</v>
      </c>
      <c r="D13" s="365" t="s">
        <v>66</v>
      </c>
      <c r="E13" s="137">
        <v>6.2044382712986561</v>
      </c>
      <c r="F13" s="137">
        <v>7.458333333333333</v>
      </c>
      <c r="G13" s="137">
        <v>7.7416666666666663</v>
      </c>
      <c r="H13" s="137">
        <v>9.9</v>
      </c>
      <c r="I13" s="137">
        <v>5.5833333333333321</v>
      </c>
      <c r="J13" s="137">
        <v>7.1749999999999998</v>
      </c>
      <c r="K13" s="137">
        <v>8.2799999999999994</v>
      </c>
      <c r="L13" s="137">
        <v>6.07</v>
      </c>
      <c r="M13" s="137">
        <v>6.8150949959630065</v>
      </c>
      <c r="N13" s="137">
        <v>7.4583333333333339</v>
      </c>
      <c r="O13" s="137">
        <v>6.75</v>
      </c>
      <c r="P13" s="137">
        <v>8.1666666666666679</v>
      </c>
      <c r="Q13" s="137">
        <v>6.1718566585926791</v>
      </c>
      <c r="R13" s="137">
        <v>5.6770466505186912</v>
      </c>
      <c r="S13" s="137">
        <v>6.6666666666666661</v>
      </c>
      <c r="T13" s="137">
        <v>5.2971818987554249</v>
      </c>
      <c r="U13" s="137">
        <v>5.05480794019077</v>
      </c>
      <c r="V13" s="137">
        <v>4.7215777262180971</v>
      </c>
      <c r="W13" s="137">
        <v>5.3880381541634437</v>
      </c>
      <c r="X13" s="137">
        <v>5.5395558573200798</v>
      </c>
      <c r="Y13" s="137">
        <v>5.6430708686490592</v>
      </c>
      <c r="Z13" s="137">
        <v>5.4360408459910996</v>
      </c>
      <c r="AA13" s="137">
        <v>5.2471428571428564</v>
      </c>
      <c r="AB13" s="137">
        <v>4.58</v>
      </c>
      <c r="AC13" s="137">
        <v>4.05</v>
      </c>
      <c r="AD13" s="137">
        <v>5.1100000000000003</v>
      </c>
      <c r="AE13" s="137">
        <v>5.9142857142857137</v>
      </c>
      <c r="AF13" s="137">
        <v>6.2285714285714278</v>
      </c>
      <c r="AG13" s="218">
        <v>5.6</v>
      </c>
      <c r="AN13" s="40"/>
    </row>
    <row r="14" spans="1:40" s="135" customFormat="1" ht="15.75" customHeight="1" thickTop="1" thickBot="1" x14ac:dyDescent="0.25">
      <c r="A14" s="155"/>
      <c r="B14" s="365" t="s">
        <v>69</v>
      </c>
      <c r="C14" s="365" t="s">
        <v>49</v>
      </c>
      <c r="D14" s="365" t="s">
        <v>70</v>
      </c>
      <c r="E14" s="137">
        <v>6.1799589855596473</v>
      </c>
      <c r="F14" s="137">
        <v>6.0719444444444441</v>
      </c>
      <c r="G14" s="137">
        <v>8.1999999999999993</v>
      </c>
      <c r="H14" s="137">
        <v>9.9</v>
      </c>
      <c r="I14" s="137">
        <v>6.5</v>
      </c>
      <c r="J14" s="137">
        <v>3.943888888888889</v>
      </c>
      <c r="K14" s="137">
        <v>3.0977777777777775</v>
      </c>
      <c r="L14" s="137">
        <v>4.79</v>
      </c>
      <c r="M14" s="137">
        <v>8.1938829025277649</v>
      </c>
      <c r="N14" s="137">
        <v>9.1041666666666679</v>
      </c>
      <c r="O14" s="137">
        <v>9.875</v>
      </c>
      <c r="P14" s="137">
        <v>8.3333333333333339</v>
      </c>
      <c r="Q14" s="137">
        <v>7.283599138388861</v>
      </c>
      <c r="R14" s="137">
        <v>5.6783093878888327</v>
      </c>
      <c r="S14" s="137">
        <v>8.8888888888888893</v>
      </c>
      <c r="T14" s="137">
        <v>5.6624701337279184</v>
      </c>
      <c r="U14" s="137">
        <v>5.7377525252525254</v>
      </c>
      <c r="V14" s="137">
        <v>6.2613636363636367</v>
      </c>
      <c r="W14" s="137">
        <v>5.2141414141414142</v>
      </c>
      <c r="X14" s="137">
        <v>5.5871877422033123</v>
      </c>
      <c r="Y14" s="137">
        <v>5.3404596727539513</v>
      </c>
      <c r="Z14" s="137">
        <v>5.8339158116526741</v>
      </c>
      <c r="AA14" s="137">
        <v>4.7915384615384617</v>
      </c>
      <c r="AB14" s="137">
        <v>5.0600000000000005</v>
      </c>
      <c r="AC14" s="137">
        <v>4.05</v>
      </c>
      <c r="AD14" s="137">
        <v>6.07</v>
      </c>
      <c r="AE14" s="137">
        <v>4.523076923076923</v>
      </c>
      <c r="AF14" s="137">
        <v>4.6461538461538465</v>
      </c>
      <c r="AG14" s="218">
        <v>4.4000000000000004</v>
      </c>
      <c r="AN14" s="40"/>
    </row>
    <row r="15" spans="1:40" s="135" customFormat="1" ht="15.75" customHeight="1" thickTop="1" thickBot="1" x14ac:dyDescent="0.25">
      <c r="A15" s="155"/>
      <c r="B15" s="365" t="s">
        <v>67</v>
      </c>
      <c r="C15" s="365" t="s">
        <v>49</v>
      </c>
      <c r="D15" s="365" t="s">
        <v>68</v>
      </c>
      <c r="E15" s="137">
        <v>6.0599237118083131</v>
      </c>
      <c r="F15" s="137">
        <v>6.6883333333333344</v>
      </c>
      <c r="G15" s="137">
        <v>6.708333333333333</v>
      </c>
      <c r="H15" s="137">
        <v>6</v>
      </c>
      <c r="I15" s="137">
        <v>7.4166666666666661</v>
      </c>
      <c r="J15" s="137">
        <v>6.6683333333333348</v>
      </c>
      <c r="K15" s="137">
        <v>6.6266666666666678</v>
      </c>
      <c r="L15" s="137">
        <v>6.7100000000000009</v>
      </c>
      <c r="M15" s="137">
        <v>6.4762316591627842</v>
      </c>
      <c r="N15" s="137">
        <v>7.4791666666666661</v>
      </c>
      <c r="O15" s="137">
        <v>5.625</v>
      </c>
      <c r="P15" s="137">
        <v>9.3333333333333321</v>
      </c>
      <c r="Q15" s="137">
        <v>5.4732966516589023</v>
      </c>
      <c r="R15" s="137">
        <v>5.7614081181326204</v>
      </c>
      <c r="S15" s="137">
        <v>5.1851851851851851</v>
      </c>
      <c r="T15" s="137">
        <v>4.7361298547371327</v>
      </c>
      <c r="U15" s="137">
        <v>4.6936507936507939</v>
      </c>
      <c r="V15" s="137">
        <v>4</v>
      </c>
      <c r="W15" s="137">
        <v>5.3873015873015877</v>
      </c>
      <c r="X15" s="137">
        <v>4.7786089158234706</v>
      </c>
      <c r="Y15" s="137">
        <v>4.2176554593942699</v>
      </c>
      <c r="Z15" s="137">
        <v>5.3395623722526722</v>
      </c>
      <c r="AA15" s="137">
        <v>6.3390000000000004</v>
      </c>
      <c r="AB15" s="137">
        <v>6.3280000000000003</v>
      </c>
      <c r="AC15" s="137">
        <v>3.49</v>
      </c>
      <c r="AD15" s="137">
        <v>9.1660000000000004</v>
      </c>
      <c r="AE15" s="137">
        <v>6.3500000000000005</v>
      </c>
      <c r="AF15" s="137">
        <v>6.3000000000000007</v>
      </c>
      <c r="AG15" s="218">
        <v>6.4</v>
      </c>
      <c r="AN15" s="40"/>
    </row>
    <row r="16" spans="1:40" s="135" customFormat="1" ht="15.75" customHeight="1" thickTop="1" thickBot="1" x14ac:dyDescent="0.25">
      <c r="A16" s="155"/>
      <c r="B16" s="365" t="s">
        <v>75</v>
      </c>
      <c r="C16" s="365" t="s">
        <v>49</v>
      </c>
      <c r="D16" s="365" t="s">
        <v>76</v>
      </c>
      <c r="E16" s="137">
        <v>6.00412486022908</v>
      </c>
      <c r="F16" s="137">
        <v>6.8011111111111111</v>
      </c>
      <c r="G16" s="137">
        <v>6.5</v>
      </c>
      <c r="H16" s="137">
        <v>6</v>
      </c>
      <c r="I16" s="137">
        <v>7.0000000000000009</v>
      </c>
      <c r="J16" s="137">
        <v>7.1022222222222222</v>
      </c>
      <c r="K16" s="137">
        <v>7.4844444444444447</v>
      </c>
      <c r="L16" s="137">
        <v>6.7200000000000006</v>
      </c>
      <c r="M16" s="137">
        <v>6.8098254626222108</v>
      </c>
      <c r="N16" s="137">
        <v>7.7499999999999991</v>
      </c>
      <c r="O16" s="137">
        <v>8.5</v>
      </c>
      <c r="P16" s="137">
        <v>6.9999999999999982</v>
      </c>
      <c r="Q16" s="137">
        <v>5.8696509252444233</v>
      </c>
      <c r="R16" s="137">
        <v>4.7022648134518086</v>
      </c>
      <c r="S16" s="137">
        <v>7.0370370370370372</v>
      </c>
      <c r="T16" s="137">
        <v>4.828562867182999</v>
      </c>
      <c r="U16" s="137">
        <v>4.5013249021379096</v>
      </c>
      <c r="V16" s="137">
        <v>3.8536585365853657</v>
      </c>
      <c r="W16" s="137">
        <v>5.1489912676904543</v>
      </c>
      <c r="X16" s="137">
        <v>5.1558008322280875</v>
      </c>
      <c r="Y16" s="137">
        <v>5.5014177731528431</v>
      </c>
      <c r="Z16" s="137">
        <v>4.8101838913033319</v>
      </c>
      <c r="AA16" s="137">
        <v>5.577</v>
      </c>
      <c r="AB16" s="137">
        <v>5.694</v>
      </c>
      <c r="AC16" s="137">
        <v>4.1899999999999995</v>
      </c>
      <c r="AD16" s="137">
        <v>7.1980000000000004</v>
      </c>
      <c r="AE16" s="137">
        <v>5.4600000000000009</v>
      </c>
      <c r="AF16" s="137">
        <v>6.5200000000000005</v>
      </c>
      <c r="AG16" s="218">
        <v>4.4000000000000004</v>
      </c>
      <c r="AN16" s="40"/>
    </row>
    <row r="17" spans="1:40" s="135" customFormat="1" ht="15.75" customHeight="1" thickTop="1" thickBot="1" x14ac:dyDescent="0.25">
      <c r="A17" s="155"/>
      <c r="B17" s="365" t="s">
        <v>79</v>
      </c>
      <c r="C17" s="365" t="s">
        <v>49</v>
      </c>
      <c r="D17" s="365" t="s">
        <v>80</v>
      </c>
      <c r="E17" s="137">
        <v>5.9634161015396643</v>
      </c>
      <c r="F17" s="137">
        <v>5.8405555555555555</v>
      </c>
      <c r="G17" s="137">
        <v>4.6083333333333334</v>
      </c>
      <c r="H17" s="137">
        <v>3.8000000000000003</v>
      </c>
      <c r="I17" s="137">
        <v>5.4166666666666661</v>
      </c>
      <c r="J17" s="137">
        <v>7.0727777777777776</v>
      </c>
      <c r="K17" s="137">
        <v>7.3755555555555548</v>
      </c>
      <c r="L17" s="137">
        <v>6.7700000000000005</v>
      </c>
      <c r="M17" s="137">
        <v>7.4222319404614989</v>
      </c>
      <c r="N17" s="137">
        <v>8.0208333333333321</v>
      </c>
      <c r="O17" s="137">
        <v>9.375</v>
      </c>
      <c r="P17" s="137">
        <v>6.6666666666666661</v>
      </c>
      <c r="Q17" s="137">
        <v>6.8236305475896657</v>
      </c>
      <c r="R17" s="137">
        <v>6.2398536877719248</v>
      </c>
      <c r="S17" s="137">
        <v>7.4074074074074066</v>
      </c>
      <c r="T17" s="137">
        <v>5.2158093425740368</v>
      </c>
      <c r="U17" s="137">
        <v>4.3773844641101274</v>
      </c>
      <c r="V17" s="137">
        <v>3.9911504424778759</v>
      </c>
      <c r="W17" s="137">
        <v>4.7636184857423798</v>
      </c>
      <c r="X17" s="137">
        <v>6.0542342210379463</v>
      </c>
      <c r="Y17" s="137">
        <v>6.2872969535334233</v>
      </c>
      <c r="Z17" s="137">
        <v>5.8211714885424684</v>
      </c>
      <c r="AA17" s="137">
        <v>5.3750675675675677</v>
      </c>
      <c r="AB17" s="137">
        <v>5.165</v>
      </c>
      <c r="AC17" s="137">
        <v>3.84</v>
      </c>
      <c r="AD17" s="137">
        <v>6.49</v>
      </c>
      <c r="AE17" s="137">
        <v>5.5851351351351353</v>
      </c>
      <c r="AF17" s="137">
        <v>5.0702702702702709</v>
      </c>
      <c r="AG17" s="218">
        <v>6.1</v>
      </c>
      <c r="AN17" s="40"/>
    </row>
    <row r="18" spans="1:40" s="135" customFormat="1" ht="15.75" customHeight="1" thickTop="1" thickBot="1" x14ac:dyDescent="0.25">
      <c r="A18" s="155"/>
      <c r="B18" s="365" t="s">
        <v>133</v>
      </c>
      <c r="C18" s="365"/>
      <c r="D18" s="365" t="s">
        <v>134</v>
      </c>
      <c r="E18" s="137">
        <v>5.9398848339748955</v>
      </c>
      <c r="F18" s="137">
        <v>5.9044444444444446</v>
      </c>
      <c r="G18" s="137">
        <v>4.9633333333333338</v>
      </c>
      <c r="H18" s="137">
        <v>4.01</v>
      </c>
      <c r="I18" s="137">
        <v>5.9166666666666679</v>
      </c>
      <c r="J18" s="137">
        <v>6.8455555555555554</v>
      </c>
      <c r="K18" s="137">
        <v>8.7111111111111104</v>
      </c>
      <c r="L18" s="137">
        <v>4.9800000000000004</v>
      </c>
      <c r="M18" s="137">
        <v>6.6355599185965186</v>
      </c>
      <c r="N18" s="137">
        <v>8.8541666666666679</v>
      </c>
      <c r="O18" s="137">
        <v>9.375</v>
      </c>
      <c r="P18" s="137">
        <v>8.3333333333333339</v>
      </c>
      <c r="Q18" s="137">
        <v>4.4169531705263694</v>
      </c>
      <c r="R18" s="137">
        <v>4.7598322669786661</v>
      </c>
      <c r="S18" s="137">
        <v>4.0740740740740735</v>
      </c>
      <c r="T18" s="137">
        <v>5.4978670624108554</v>
      </c>
      <c r="U18" s="137">
        <v>5.9013924901565353</v>
      </c>
      <c r="V18" s="137">
        <v>6.1339671564390663</v>
      </c>
      <c r="W18" s="137">
        <v>5.6688178238740035</v>
      </c>
      <c r="X18" s="137">
        <v>5.0943416346651755</v>
      </c>
      <c r="Y18" s="137">
        <v>5.1932295367008674</v>
      </c>
      <c r="Z18" s="137">
        <v>4.9954537326294828</v>
      </c>
      <c r="AA18" s="137">
        <v>5.7216679104477617</v>
      </c>
      <c r="AB18" s="137">
        <v>5.4104999999999999</v>
      </c>
      <c r="AC18" s="137">
        <v>3.875</v>
      </c>
      <c r="AD18" s="137">
        <v>6.9459999999999997</v>
      </c>
      <c r="AE18" s="137">
        <v>6.0328358208955226</v>
      </c>
      <c r="AF18" s="137">
        <v>5.6656716417910449</v>
      </c>
      <c r="AG18" s="218">
        <v>6.4</v>
      </c>
      <c r="AN18" s="40"/>
    </row>
    <row r="19" spans="1:40" s="135" customFormat="1" ht="15.75" customHeight="1" thickTop="1" thickBot="1" x14ac:dyDescent="0.25">
      <c r="A19" s="155"/>
      <c r="B19" s="365" t="s">
        <v>77</v>
      </c>
      <c r="C19" s="365" t="s">
        <v>82</v>
      </c>
      <c r="D19" s="365" t="s">
        <v>78</v>
      </c>
      <c r="E19" s="137">
        <v>5.8495280809018073</v>
      </c>
      <c r="F19" s="137">
        <v>5.1838888888888892</v>
      </c>
      <c r="G19" s="137">
        <v>5.7850000000000001</v>
      </c>
      <c r="H19" s="137">
        <v>6.57</v>
      </c>
      <c r="I19" s="137">
        <v>5</v>
      </c>
      <c r="J19" s="137">
        <v>4.5827777777777783</v>
      </c>
      <c r="K19" s="137">
        <v>5.0755555555555558</v>
      </c>
      <c r="L19" s="137">
        <v>4.09</v>
      </c>
      <c r="M19" s="137">
        <v>7.2610719765439438</v>
      </c>
      <c r="N19" s="137">
        <v>8.1458333333333321</v>
      </c>
      <c r="O19" s="137">
        <v>7.625</v>
      </c>
      <c r="P19" s="137">
        <v>8.6666666666666661</v>
      </c>
      <c r="Q19" s="137">
        <v>6.3763106197545554</v>
      </c>
      <c r="R19" s="137">
        <v>4.2341027209905917</v>
      </c>
      <c r="S19" s="137">
        <v>8.518518518518519</v>
      </c>
      <c r="T19" s="137">
        <v>5.8799591504820903</v>
      </c>
      <c r="U19" s="137">
        <v>5.8394675925925927</v>
      </c>
      <c r="V19" s="137">
        <v>6.1937499999999996</v>
      </c>
      <c r="W19" s="137">
        <v>5.4851851851851849</v>
      </c>
      <c r="X19" s="137">
        <v>5.9204507083715878</v>
      </c>
      <c r="Y19" s="137">
        <v>6.6517172951185577</v>
      </c>
      <c r="Z19" s="137">
        <v>5.1891841216246171</v>
      </c>
      <c r="AA19" s="137">
        <v>5.0731923076923078</v>
      </c>
      <c r="AB19" s="137">
        <v>6.1310000000000002</v>
      </c>
      <c r="AC19" s="137">
        <v>4.05</v>
      </c>
      <c r="AD19" s="137">
        <v>8.2119999999999997</v>
      </c>
      <c r="AE19" s="137">
        <v>4.0153846153846153</v>
      </c>
      <c r="AF19" s="137">
        <v>4.0307692307692307</v>
      </c>
      <c r="AG19" s="218">
        <v>4</v>
      </c>
      <c r="AN19" s="40"/>
    </row>
    <row r="20" spans="1:40" s="135" customFormat="1" ht="15.75" customHeight="1" thickTop="1" thickBot="1" x14ac:dyDescent="0.25">
      <c r="A20" s="155"/>
      <c r="B20" s="365" t="s">
        <v>81</v>
      </c>
      <c r="C20" s="365" t="s">
        <v>82</v>
      </c>
      <c r="D20" s="365" t="s">
        <v>83</v>
      </c>
      <c r="E20" s="137">
        <v>5.7644972693735212</v>
      </c>
      <c r="F20" s="137">
        <v>5.6027777777777779</v>
      </c>
      <c r="G20" s="137">
        <v>5.53</v>
      </c>
      <c r="H20" s="137">
        <v>5.0600000000000005</v>
      </c>
      <c r="I20" s="137">
        <v>6</v>
      </c>
      <c r="J20" s="137">
        <v>5.6755555555555546</v>
      </c>
      <c r="K20" s="137">
        <v>5.6111111111111107</v>
      </c>
      <c r="L20" s="137">
        <v>5.7399999999999993</v>
      </c>
      <c r="M20" s="137">
        <v>4.8781085741314705</v>
      </c>
      <c r="N20" s="137">
        <v>6.791666666666667</v>
      </c>
      <c r="O20" s="137">
        <v>8.75</v>
      </c>
      <c r="P20" s="137">
        <v>4.8333333333333339</v>
      </c>
      <c r="Q20" s="137">
        <v>2.9645504815962749</v>
      </c>
      <c r="R20" s="137">
        <v>4.0772491113406986</v>
      </c>
      <c r="S20" s="137">
        <v>1.8518518518518516</v>
      </c>
      <c r="T20" s="137">
        <v>5.4716027255848356</v>
      </c>
      <c r="U20" s="137">
        <v>5.0814386640976235</v>
      </c>
      <c r="V20" s="137">
        <v>5.104046242774567</v>
      </c>
      <c r="W20" s="137">
        <v>5.0588310854206808</v>
      </c>
      <c r="X20" s="137">
        <v>5.8617667870720478</v>
      </c>
      <c r="Y20" s="137">
        <v>6.8467557552318903</v>
      </c>
      <c r="Z20" s="137">
        <v>4.8767778189122062</v>
      </c>
      <c r="AA20" s="137">
        <v>7.1054999999999993</v>
      </c>
      <c r="AB20" s="137">
        <v>6.6109999999999998</v>
      </c>
      <c r="AC20" s="137">
        <v>3.84</v>
      </c>
      <c r="AD20" s="137">
        <v>9.3819999999999997</v>
      </c>
      <c r="AE20" s="137">
        <v>7.6</v>
      </c>
      <c r="AF20" s="137">
        <v>6.8</v>
      </c>
      <c r="AG20" s="218">
        <v>8.4</v>
      </c>
      <c r="AN20" s="40"/>
    </row>
    <row r="21" spans="1:40" s="135" customFormat="1" ht="15.75" customHeight="1" thickTop="1" thickBot="1" x14ac:dyDescent="0.25">
      <c r="A21" s="155"/>
      <c r="B21" s="365" t="s">
        <v>94</v>
      </c>
      <c r="C21" s="365" t="s">
        <v>49</v>
      </c>
      <c r="D21" s="365" t="s">
        <v>95</v>
      </c>
      <c r="E21" s="137">
        <v>5.7619787368037745</v>
      </c>
      <c r="F21" s="137">
        <v>2.660277777777778</v>
      </c>
      <c r="G21" s="137">
        <v>2.9783333333333335</v>
      </c>
      <c r="H21" s="137">
        <v>1.29</v>
      </c>
      <c r="I21" s="137">
        <v>4.666666666666667</v>
      </c>
      <c r="J21" s="137">
        <v>2.342222222222222</v>
      </c>
      <c r="K21" s="137">
        <v>2.8044444444444441</v>
      </c>
      <c r="L21" s="137">
        <v>1.88</v>
      </c>
      <c r="M21" s="137">
        <v>8.6429609074431593</v>
      </c>
      <c r="N21" s="137">
        <v>8.3874999999999993</v>
      </c>
      <c r="O21" s="137">
        <v>6.875</v>
      </c>
      <c r="P21" s="137">
        <v>9.9</v>
      </c>
      <c r="Q21" s="137">
        <v>8.8984218148863192</v>
      </c>
      <c r="R21" s="137">
        <v>8.5375843705133789</v>
      </c>
      <c r="S21" s="137">
        <v>9.2592592592592595</v>
      </c>
      <c r="T21" s="137">
        <v>5.7326762619941594</v>
      </c>
      <c r="U21" s="137">
        <v>4.6820191906549855</v>
      </c>
      <c r="V21" s="137">
        <v>4.4543178973717144</v>
      </c>
      <c r="W21" s="137">
        <v>4.9097204839382558</v>
      </c>
      <c r="X21" s="137">
        <v>6.7833333333333332</v>
      </c>
      <c r="Y21" s="137">
        <v>9.9</v>
      </c>
      <c r="Z21" s="137">
        <v>3.6666666666666665</v>
      </c>
      <c r="AA21" s="137">
        <v>6.0119999999999996</v>
      </c>
      <c r="AB21" s="137">
        <v>5.1739999999999995</v>
      </c>
      <c r="AC21" s="137">
        <v>3.84</v>
      </c>
      <c r="AD21" s="137">
        <v>6.508</v>
      </c>
      <c r="AE21" s="137">
        <v>6.85</v>
      </c>
      <c r="AF21" s="137">
        <v>8.9</v>
      </c>
      <c r="AG21" s="218">
        <v>4.8</v>
      </c>
      <c r="AN21" s="40"/>
    </row>
    <row r="22" spans="1:40" s="135" customFormat="1" ht="15.75" customHeight="1" thickTop="1" thickBot="1" x14ac:dyDescent="0.25">
      <c r="A22" s="155"/>
      <c r="B22" s="365" t="s">
        <v>108</v>
      </c>
      <c r="C22" s="365" t="s">
        <v>49</v>
      </c>
      <c r="D22" s="365" t="s">
        <v>109</v>
      </c>
      <c r="E22" s="137">
        <v>5.5097136858736073</v>
      </c>
      <c r="F22" s="137">
        <v>4.7752777777777782</v>
      </c>
      <c r="G22" s="137">
        <v>4.2866666666666671</v>
      </c>
      <c r="H22" s="137">
        <v>2.2400000000000002</v>
      </c>
      <c r="I22" s="137">
        <v>6.333333333333333</v>
      </c>
      <c r="J22" s="137">
        <v>5.2638888888888893</v>
      </c>
      <c r="K22" s="137">
        <v>6.3977777777777787</v>
      </c>
      <c r="L22" s="137">
        <v>4.13</v>
      </c>
      <c r="M22" s="137">
        <v>5.1950919313860835</v>
      </c>
      <c r="N22" s="137">
        <v>6.4166666666666661</v>
      </c>
      <c r="O22" s="137">
        <v>6</v>
      </c>
      <c r="P22" s="137">
        <v>6.8333333333333321</v>
      </c>
      <c r="Q22" s="137">
        <v>3.9735171961055009</v>
      </c>
      <c r="R22" s="137">
        <v>4.2433306885072986</v>
      </c>
      <c r="S22" s="137">
        <v>3.7037037037037033</v>
      </c>
      <c r="T22" s="137">
        <v>4.8559850343305673</v>
      </c>
      <c r="U22" s="137">
        <v>4.7155800428527694</v>
      </c>
      <c r="V22" s="137">
        <v>4.3884297520661155</v>
      </c>
      <c r="W22" s="137">
        <v>5.0427303336394242</v>
      </c>
      <c r="X22" s="137">
        <v>4.9963900258083642</v>
      </c>
      <c r="Y22" s="137">
        <v>5.0030961166287105</v>
      </c>
      <c r="Z22" s="137">
        <v>4.989683934988018</v>
      </c>
      <c r="AA22" s="137">
        <v>7.2125000000000004</v>
      </c>
      <c r="AB22" s="137">
        <v>5.0750000000000002</v>
      </c>
      <c r="AC22" s="137">
        <v>6.15</v>
      </c>
      <c r="AD22" s="137">
        <v>4</v>
      </c>
      <c r="AE22" s="137">
        <v>9.3500000000000014</v>
      </c>
      <c r="AF22" s="137">
        <v>8.8000000000000007</v>
      </c>
      <c r="AG22" s="218">
        <v>9.9</v>
      </c>
      <c r="AN22" s="40"/>
    </row>
    <row r="23" spans="1:40" s="135" customFormat="1" ht="15.75" customHeight="1" thickTop="1" thickBot="1" x14ac:dyDescent="0.25">
      <c r="A23" s="155"/>
      <c r="B23" s="365" t="s">
        <v>88</v>
      </c>
      <c r="C23" s="365" t="s">
        <v>49</v>
      </c>
      <c r="D23" s="365" t="s">
        <v>89</v>
      </c>
      <c r="E23" s="137">
        <v>5.3970466752716479</v>
      </c>
      <c r="F23" s="137">
        <v>6.0702777777777781</v>
      </c>
      <c r="G23" s="137">
        <v>6.666666666666667</v>
      </c>
      <c r="H23" s="137">
        <v>6</v>
      </c>
      <c r="I23" s="137">
        <v>7.3333333333333339</v>
      </c>
      <c r="J23" s="137">
        <v>5.4738888888888892</v>
      </c>
      <c r="K23" s="137">
        <v>5.9577777777777783</v>
      </c>
      <c r="L23" s="137">
        <v>4.99</v>
      </c>
      <c r="M23" s="137">
        <v>4.128298834079609</v>
      </c>
      <c r="N23" s="137">
        <v>4.9583333333333339</v>
      </c>
      <c r="O23" s="137">
        <v>5.75</v>
      </c>
      <c r="P23" s="137">
        <v>4.166666666666667</v>
      </c>
      <c r="Q23" s="137">
        <v>3.2982643348258835</v>
      </c>
      <c r="R23" s="137">
        <v>4.0039360770591745</v>
      </c>
      <c r="S23" s="137">
        <v>2.5925925925925926</v>
      </c>
      <c r="T23" s="137">
        <v>4.4433958035149201</v>
      </c>
      <c r="U23" s="137">
        <v>4.5505968778696051</v>
      </c>
      <c r="V23" s="137">
        <v>3.887052341597796</v>
      </c>
      <c r="W23" s="137">
        <v>5.2141414141414142</v>
      </c>
      <c r="X23" s="137">
        <v>4.3361947291602352</v>
      </c>
      <c r="Y23" s="137">
        <v>3.938298313696591</v>
      </c>
      <c r="Z23" s="137">
        <v>4.7340911446238803</v>
      </c>
      <c r="AA23" s="137">
        <v>6.9462142857142855</v>
      </c>
      <c r="AB23" s="137">
        <v>7.0209999999999999</v>
      </c>
      <c r="AC23" s="137">
        <v>4.75</v>
      </c>
      <c r="AD23" s="137">
        <v>9.2919999999999998</v>
      </c>
      <c r="AE23" s="137">
        <v>6.8714285714285719</v>
      </c>
      <c r="AF23" s="137">
        <v>4.9428571428571431</v>
      </c>
      <c r="AG23" s="218">
        <v>8.8000000000000007</v>
      </c>
      <c r="AN23" s="40"/>
    </row>
    <row r="24" spans="1:40" s="135" customFormat="1" ht="15.75" customHeight="1" thickTop="1" thickBot="1" x14ac:dyDescent="0.25">
      <c r="A24" s="155"/>
      <c r="B24" s="365" t="s">
        <v>84</v>
      </c>
      <c r="C24" s="365" t="s">
        <v>82</v>
      </c>
      <c r="D24" s="365" t="s">
        <v>85</v>
      </c>
      <c r="E24" s="137">
        <v>5.3665128052757582</v>
      </c>
      <c r="F24" s="137">
        <v>5.51</v>
      </c>
      <c r="G24" s="137">
        <v>8.0499999999999989</v>
      </c>
      <c r="H24" s="137">
        <v>8.6</v>
      </c>
      <c r="I24" s="137">
        <v>7.4999999999999991</v>
      </c>
      <c r="J24" s="137">
        <v>2.9699999999999998</v>
      </c>
      <c r="K24" s="137">
        <v>3.2799999999999994</v>
      </c>
      <c r="L24" s="137">
        <v>2.66</v>
      </c>
      <c r="M24" s="137">
        <v>5.2438121444461592</v>
      </c>
      <c r="N24" s="137">
        <v>6.3125</v>
      </c>
      <c r="O24" s="137">
        <v>8.625</v>
      </c>
      <c r="P24" s="137">
        <v>4.0000000000000009</v>
      </c>
      <c r="Q24" s="137">
        <v>4.1751242888923183</v>
      </c>
      <c r="R24" s="137">
        <v>2.7946930222290809</v>
      </c>
      <c r="S24" s="137">
        <v>5.5555555555555554</v>
      </c>
      <c r="T24" s="137">
        <v>4.4867390766568738</v>
      </c>
      <c r="U24" s="137">
        <v>5.5221486387049303</v>
      </c>
      <c r="V24" s="137">
        <v>5.5960264900662251</v>
      </c>
      <c r="W24" s="137">
        <v>5.4482707873436347</v>
      </c>
      <c r="X24" s="137">
        <v>3.4513295146088168</v>
      </c>
      <c r="Y24" s="137">
        <v>2.6114489041816507</v>
      </c>
      <c r="Z24" s="137">
        <v>4.2912101250359829</v>
      </c>
      <c r="AA24" s="137">
        <v>6.2255000000000003</v>
      </c>
      <c r="AB24" s="137">
        <v>5.851</v>
      </c>
      <c r="AC24" s="137">
        <v>4.75</v>
      </c>
      <c r="AD24" s="137">
        <v>6.952</v>
      </c>
      <c r="AE24" s="137">
        <v>6.6</v>
      </c>
      <c r="AF24" s="137">
        <v>4.8</v>
      </c>
      <c r="AG24" s="218">
        <v>8.4</v>
      </c>
      <c r="AN24" s="40"/>
    </row>
    <row r="25" spans="1:40" s="135" customFormat="1" ht="15.75" customHeight="1" thickTop="1" thickBot="1" x14ac:dyDescent="0.25">
      <c r="A25" s="155"/>
      <c r="B25" s="365" t="s">
        <v>92</v>
      </c>
      <c r="C25" s="365" t="s">
        <v>49</v>
      </c>
      <c r="D25" s="365" t="s">
        <v>93</v>
      </c>
      <c r="E25" s="137">
        <v>5.3641815322621822</v>
      </c>
      <c r="F25" s="137">
        <v>6.1027777777777779</v>
      </c>
      <c r="G25" s="137">
        <v>6.1349999999999998</v>
      </c>
      <c r="H25" s="137">
        <v>5.77</v>
      </c>
      <c r="I25" s="137">
        <v>6.5</v>
      </c>
      <c r="J25" s="137">
        <v>6.0705555555555559</v>
      </c>
      <c r="K25" s="137">
        <v>6.5911111111111111</v>
      </c>
      <c r="L25" s="137">
        <v>5.5500000000000007</v>
      </c>
      <c r="M25" s="137">
        <v>5.4226603397628192</v>
      </c>
      <c r="N25" s="137">
        <v>5.0208333333333339</v>
      </c>
      <c r="O25" s="137">
        <v>2.875</v>
      </c>
      <c r="P25" s="137">
        <v>7.1666666666666679</v>
      </c>
      <c r="Q25" s="137">
        <v>5.8244873461923055</v>
      </c>
      <c r="R25" s="137">
        <v>4.6119376553475737</v>
      </c>
      <c r="S25" s="137">
        <v>7.0370370370370372</v>
      </c>
      <c r="T25" s="137">
        <v>4.7862880115081339</v>
      </c>
      <c r="U25" s="137">
        <v>4.7715387311601827</v>
      </c>
      <c r="V25" s="137">
        <v>4.3690851735015777</v>
      </c>
      <c r="W25" s="137">
        <v>5.1739922888187868</v>
      </c>
      <c r="X25" s="137">
        <v>4.801037291856086</v>
      </c>
      <c r="Y25" s="137">
        <v>4.389696439239831</v>
      </c>
      <c r="Z25" s="137">
        <v>5.2123781444723409</v>
      </c>
      <c r="AA25" s="137">
        <v>5.1450000000000005</v>
      </c>
      <c r="AB25" s="137">
        <v>4.49</v>
      </c>
      <c r="AC25" s="137">
        <v>4.05</v>
      </c>
      <c r="AD25" s="137">
        <v>4.93</v>
      </c>
      <c r="AE25" s="137">
        <v>5.8000000000000007</v>
      </c>
      <c r="AF25" s="137">
        <v>5.2</v>
      </c>
      <c r="AG25" s="218">
        <v>6.4</v>
      </c>
      <c r="AN25" s="40"/>
    </row>
    <row r="26" spans="1:40" s="135" customFormat="1" ht="15.75" customHeight="1" thickTop="1" thickBot="1" x14ac:dyDescent="0.25">
      <c r="A26" s="155"/>
      <c r="B26" s="365" t="s">
        <v>73</v>
      </c>
      <c r="C26" s="365"/>
      <c r="D26" s="365" t="s">
        <v>74</v>
      </c>
      <c r="E26" s="137">
        <v>5.2886004754754756</v>
      </c>
      <c r="F26" s="137">
        <v>5.3608333333333338</v>
      </c>
      <c r="G26" s="137">
        <v>5.4716666666666676</v>
      </c>
      <c r="H26" s="137">
        <v>5.1100000000000003</v>
      </c>
      <c r="I26" s="137">
        <v>5.8333333333333339</v>
      </c>
      <c r="J26" s="137">
        <v>5.25</v>
      </c>
      <c r="K26" s="137">
        <v>5.28</v>
      </c>
      <c r="L26" s="137">
        <v>5.2200000000000006</v>
      </c>
      <c r="M26" s="137">
        <v>6.1231481481481485</v>
      </c>
      <c r="N26" s="137">
        <v>8.2833333333333332</v>
      </c>
      <c r="O26" s="137">
        <v>9.9</v>
      </c>
      <c r="P26" s="137">
        <v>6.6666666666666661</v>
      </c>
      <c r="Q26" s="137">
        <v>3.9629629629629628</v>
      </c>
      <c r="R26" s="137">
        <v>2</v>
      </c>
      <c r="S26" s="137">
        <v>5.9259259259259256</v>
      </c>
      <c r="T26" s="137">
        <v>5.5148648648648653</v>
      </c>
      <c r="U26" s="137">
        <v>6.0297297297297296</v>
      </c>
      <c r="V26" s="137">
        <v>6.3675675675675674</v>
      </c>
      <c r="W26" s="137">
        <v>5.6918918918918919</v>
      </c>
      <c r="X26" s="137">
        <v>5</v>
      </c>
      <c r="Y26" s="137">
        <v>5</v>
      </c>
      <c r="Z26" s="137">
        <v>5</v>
      </c>
      <c r="AA26" s="137">
        <v>4.155555555555555</v>
      </c>
      <c r="AB26" s="137">
        <v>3.55</v>
      </c>
      <c r="AC26" s="137">
        <v>5.0999999999999996</v>
      </c>
      <c r="AD26" s="137">
        <v>2</v>
      </c>
      <c r="AE26" s="137">
        <v>4.7611111111111111</v>
      </c>
      <c r="AF26" s="137">
        <v>5.0222222222222221</v>
      </c>
      <c r="AG26" s="218">
        <v>4.5</v>
      </c>
      <c r="AN26" s="40"/>
    </row>
    <row r="27" spans="1:40" s="135" customFormat="1" ht="15.75" customHeight="1" thickTop="1" thickBot="1" x14ac:dyDescent="0.25">
      <c r="A27" s="155"/>
      <c r="B27" s="365" t="s">
        <v>96</v>
      </c>
      <c r="C27" s="365" t="s">
        <v>49</v>
      </c>
      <c r="D27" s="365" t="s">
        <v>97</v>
      </c>
      <c r="E27" s="137">
        <v>5.2731472982880607</v>
      </c>
      <c r="F27" s="137">
        <v>5.269166666666667</v>
      </c>
      <c r="G27" s="137">
        <v>6.1333333333333329</v>
      </c>
      <c r="H27" s="137">
        <v>3.85</v>
      </c>
      <c r="I27" s="137">
        <v>8.4166666666666661</v>
      </c>
      <c r="J27" s="137">
        <v>4.4050000000000002</v>
      </c>
      <c r="K27" s="137">
        <v>3.6</v>
      </c>
      <c r="L27" s="137">
        <v>5.21</v>
      </c>
      <c r="M27" s="137">
        <v>6.3959280911795382</v>
      </c>
      <c r="N27" s="137">
        <v>7.604166666666667</v>
      </c>
      <c r="O27" s="137">
        <v>6.875</v>
      </c>
      <c r="P27" s="137">
        <v>8.3333333333333339</v>
      </c>
      <c r="Q27" s="137">
        <v>5.1876895156924103</v>
      </c>
      <c r="R27" s="137">
        <v>5.5605642165700058</v>
      </c>
      <c r="S27" s="137">
        <v>4.8148148148148149</v>
      </c>
      <c r="T27" s="137">
        <v>4.703994435306039</v>
      </c>
      <c r="U27" s="137">
        <v>4.2390410958904106</v>
      </c>
      <c r="V27" s="137">
        <v>3.7191780821917808</v>
      </c>
      <c r="W27" s="137">
        <v>4.7589041095890412</v>
      </c>
      <c r="X27" s="137">
        <v>5.1689477747216674</v>
      </c>
      <c r="Y27" s="137">
        <v>4.4955675193042772</v>
      </c>
      <c r="Z27" s="137">
        <v>5.8423280301390585</v>
      </c>
      <c r="AA27" s="137">
        <v>4.7234999999999996</v>
      </c>
      <c r="AB27" s="137">
        <v>4.4470000000000001</v>
      </c>
      <c r="AC27" s="137">
        <v>4.54</v>
      </c>
      <c r="AD27" s="137">
        <v>4.3540000000000001</v>
      </c>
      <c r="AE27" s="137">
        <v>5</v>
      </c>
      <c r="AF27" s="137">
        <v>4</v>
      </c>
      <c r="AG27" s="218">
        <v>6</v>
      </c>
      <c r="AN27" s="40"/>
    </row>
    <row r="28" spans="1:40" s="135" customFormat="1" ht="15.75" customHeight="1" thickTop="1" thickBot="1" x14ac:dyDescent="0.25">
      <c r="A28" s="155"/>
      <c r="B28" s="365" t="s">
        <v>98</v>
      </c>
      <c r="C28" s="365" t="s">
        <v>49</v>
      </c>
      <c r="D28" s="365" t="s">
        <v>99</v>
      </c>
      <c r="E28" s="137">
        <v>5.2659841093227113</v>
      </c>
      <c r="F28" s="137">
        <v>5.043333333333333</v>
      </c>
      <c r="G28" s="137">
        <v>5.0916666666666668</v>
      </c>
      <c r="H28" s="137">
        <v>5.35</v>
      </c>
      <c r="I28" s="137">
        <v>4.8333333333333339</v>
      </c>
      <c r="J28" s="137">
        <v>4.9950000000000001</v>
      </c>
      <c r="K28" s="137">
        <v>4.2200000000000006</v>
      </c>
      <c r="L28" s="137">
        <v>5.77</v>
      </c>
      <c r="M28" s="137">
        <v>5.9042986694068702</v>
      </c>
      <c r="N28" s="137">
        <v>5.291666666666667</v>
      </c>
      <c r="O28" s="137">
        <v>3.2499999999999996</v>
      </c>
      <c r="P28" s="137">
        <v>7.3333333333333339</v>
      </c>
      <c r="Q28" s="137">
        <v>6.5169306721470726</v>
      </c>
      <c r="R28" s="137">
        <v>5.2560835665163665</v>
      </c>
      <c r="S28" s="137">
        <v>7.7777777777777777</v>
      </c>
      <c r="T28" s="137">
        <v>5.1813044345506452</v>
      </c>
      <c r="U28" s="137">
        <v>4.3047067901234568</v>
      </c>
      <c r="V28" s="137">
        <v>3.729166666666667</v>
      </c>
      <c r="W28" s="137">
        <v>4.8802469135802466</v>
      </c>
      <c r="X28" s="137">
        <v>6.0579020789778326</v>
      </c>
      <c r="Y28" s="137">
        <v>6.4271230449092362</v>
      </c>
      <c r="Z28" s="137">
        <v>5.6886811130464281</v>
      </c>
      <c r="AA28" s="137">
        <v>4.9349999999999996</v>
      </c>
      <c r="AB28" s="137">
        <v>4.2699999999999996</v>
      </c>
      <c r="AC28" s="137">
        <v>4.54</v>
      </c>
      <c r="AD28" s="137">
        <v>4</v>
      </c>
      <c r="AE28" s="137">
        <v>5.6</v>
      </c>
      <c r="AF28" s="137">
        <v>4.8</v>
      </c>
      <c r="AG28" s="218">
        <v>6.4</v>
      </c>
      <c r="AN28" s="40"/>
    </row>
    <row r="29" spans="1:40" s="135" customFormat="1" ht="15.75" customHeight="1" thickTop="1" thickBot="1" x14ac:dyDescent="0.25">
      <c r="A29" s="155"/>
      <c r="B29" s="365" t="s">
        <v>100</v>
      </c>
      <c r="C29" s="365" t="s">
        <v>49</v>
      </c>
      <c r="D29" s="365" t="s">
        <v>101</v>
      </c>
      <c r="E29" s="137">
        <v>5.1891682895920059</v>
      </c>
      <c r="F29" s="137">
        <v>4.7586111111111107</v>
      </c>
      <c r="G29" s="137">
        <v>4.3733333333333331</v>
      </c>
      <c r="H29" s="137">
        <v>2.33</v>
      </c>
      <c r="I29" s="137">
        <v>6.4166666666666661</v>
      </c>
      <c r="J29" s="137">
        <v>5.1438888888888883</v>
      </c>
      <c r="K29" s="137">
        <v>5.5177777777777779</v>
      </c>
      <c r="L29" s="137">
        <v>4.7699999999999996</v>
      </c>
      <c r="M29" s="137">
        <v>5.700746405862283</v>
      </c>
      <c r="N29" s="137">
        <v>6.979166666666667</v>
      </c>
      <c r="O29" s="137">
        <v>9.125</v>
      </c>
      <c r="P29" s="137">
        <v>4.8333333333333339</v>
      </c>
      <c r="Q29" s="137">
        <v>4.422326145057899</v>
      </c>
      <c r="R29" s="137">
        <v>4.4002078456713534</v>
      </c>
      <c r="S29" s="137">
        <v>4.4444444444444446</v>
      </c>
      <c r="T29" s="137">
        <v>5.5142002567792421</v>
      </c>
      <c r="U29" s="137">
        <v>5.7063271604938262</v>
      </c>
      <c r="V29" s="137">
        <v>5.2361111111111107</v>
      </c>
      <c r="W29" s="137">
        <v>6.1765432098765425</v>
      </c>
      <c r="X29" s="137">
        <v>5.3220733530646571</v>
      </c>
      <c r="Y29" s="137">
        <v>6.2407451378150789</v>
      </c>
      <c r="Z29" s="137">
        <v>4.4034015683142353</v>
      </c>
      <c r="AA29" s="137">
        <v>4.7831153846153853</v>
      </c>
      <c r="AB29" s="137">
        <v>4.6970000000000001</v>
      </c>
      <c r="AC29" s="137">
        <v>3.84</v>
      </c>
      <c r="AD29" s="137">
        <v>5.5540000000000003</v>
      </c>
      <c r="AE29" s="137">
        <v>4.8692307692307697</v>
      </c>
      <c r="AF29" s="137">
        <v>4.3384615384615381</v>
      </c>
      <c r="AG29" s="218">
        <v>5.4</v>
      </c>
      <c r="AN29" s="40"/>
    </row>
    <row r="30" spans="1:40" s="135" customFormat="1" ht="15.75" customHeight="1" thickTop="1" thickBot="1" x14ac:dyDescent="0.25">
      <c r="A30" s="155"/>
      <c r="B30" s="365" t="s">
        <v>86</v>
      </c>
      <c r="C30" s="365"/>
      <c r="D30" s="365" t="s">
        <v>87</v>
      </c>
      <c r="E30" s="137">
        <v>5.1846968386712451</v>
      </c>
      <c r="F30" s="137">
        <v>5.3377777777777773</v>
      </c>
      <c r="G30" s="137">
        <v>5.0483333333333329</v>
      </c>
      <c r="H30" s="137">
        <v>5.18</v>
      </c>
      <c r="I30" s="137">
        <v>4.9166666666666661</v>
      </c>
      <c r="J30" s="137">
        <v>5.6272222222222226</v>
      </c>
      <c r="K30" s="137">
        <v>5.9244444444444442</v>
      </c>
      <c r="L30" s="137">
        <v>5.33</v>
      </c>
      <c r="M30" s="137">
        <v>5.7726214152099704</v>
      </c>
      <c r="N30" s="137">
        <v>7.354166666666667</v>
      </c>
      <c r="O30" s="137">
        <v>9.875</v>
      </c>
      <c r="P30" s="137">
        <v>4.8333333333333339</v>
      </c>
      <c r="Q30" s="137">
        <v>4.1910761637532747</v>
      </c>
      <c r="R30" s="137">
        <v>5.0488189941732164</v>
      </c>
      <c r="S30" s="137">
        <v>3.333333333333333</v>
      </c>
      <c r="T30" s="137">
        <v>4.6922116911089979</v>
      </c>
      <c r="U30" s="137">
        <v>4.8766666666666669</v>
      </c>
      <c r="V30" s="137">
        <v>4.82</v>
      </c>
      <c r="W30" s="137">
        <v>4.9333333333333327</v>
      </c>
      <c r="X30" s="137">
        <v>4.507756715551329</v>
      </c>
      <c r="Y30" s="137">
        <v>3.8266141451918796</v>
      </c>
      <c r="Z30" s="137">
        <v>5.1888992859107788</v>
      </c>
      <c r="AA30" s="137">
        <v>4.9361764705882347</v>
      </c>
      <c r="AB30" s="137">
        <v>4.6899999999999995</v>
      </c>
      <c r="AC30" s="137">
        <v>4.1199999999999992</v>
      </c>
      <c r="AD30" s="137">
        <v>5.26</v>
      </c>
      <c r="AE30" s="137">
        <v>5.1823529411764699</v>
      </c>
      <c r="AF30" s="137">
        <v>4.5647058823529409</v>
      </c>
      <c r="AG30" s="218">
        <v>5.8</v>
      </c>
      <c r="AN30" s="40"/>
    </row>
    <row r="31" spans="1:40" s="135" customFormat="1" ht="15.75" customHeight="1" thickTop="1" thickBot="1" x14ac:dyDescent="0.25">
      <c r="A31" s="155"/>
      <c r="B31" s="365" t="s">
        <v>90</v>
      </c>
      <c r="C31" s="365" t="s">
        <v>49</v>
      </c>
      <c r="D31" s="365" t="s">
        <v>91</v>
      </c>
      <c r="E31" s="137">
        <v>5.1599261590460594</v>
      </c>
      <c r="F31" s="137">
        <v>6.6050000000000004</v>
      </c>
      <c r="G31" s="137">
        <v>6.375</v>
      </c>
      <c r="H31" s="137">
        <v>8</v>
      </c>
      <c r="I31" s="137">
        <v>4.75</v>
      </c>
      <c r="J31" s="137">
        <v>6.835</v>
      </c>
      <c r="K31" s="137">
        <v>7.58</v>
      </c>
      <c r="L31" s="137">
        <v>6.09</v>
      </c>
      <c r="M31" s="137">
        <v>4.9438145719341993</v>
      </c>
      <c r="N31" s="137">
        <v>5.0624999999999991</v>
      </c>
      <c r="O31" s="137">
        <v>3.125</v>
      </c>
      <c r="P31" s="137">
        <v>6.9999999999999982</v>
      </c>
      <c r="Q31" s="137">
        <v>4.8251291438683985</v>
      </c>
      <c r="R31" s="137">
        <v>4.8354434729219822</v>
      </c>
      <c r="S31" s="137">
        <v>4.8148148148148149</v>
      </c>
      <c r="T31" s="137">
        <v>4.6683900642500387</v>
      </c>
      <c r="U31" s="137">
        <v>4.8315619967793877</v>
      </c>
      <c r="V31" s="137">
        <v>4.1159420289855069</v>
      </c>
      <c r="W31" s="137">
        <v>5.5471819645732685</v>
      </c>
      <c r="X31" s="137">
        <v>4.5052181317206905</v>
      </c>
      <c r="Y31" s="137">
        <v>4.397058338976743</v>
      </c>
      <c r="Z31" s="137">
        <v>4.613377924464638</v>
      </c>
      <c r="AA31" s="137">
        <v>4.4224999999999994</v>
      </c>
      <c r="AB31" s="137">
        <v>4.6449999999999996</v>
      </c>
      <c r="AC31" s="137">
        <v>4.75</v>
      </c>
      <c r="AD31" s="137">
        <v>4.54</v>
      </c>
      <c r="AE31" s="137">
        <v>4.2</v>
      </c>
      <c r="AF31" s="137">
        <v>4</v>
      </c>
      <c r="AG31" s="218">
        <v>4.4000000000000004</v>
      </c>
      <c r="AN31" s="40"/>
    </row>
    <row r="32" spans="1:40" s="135" customFormat="1" ht="15.75" customHeight="1" thickTop="1" thickBot="1" x14ac:dyDescent="0.25">
      <c r="A32" s="155"/>
      <c r="B32" s="365" t="s">
        <v>106</v>
      </c>
      <c r="C32" s="365"/>
      <c r="D32" s="365" t="s">
        <v>107</v>
      </c>
      <c r="E32" s="137">
        <v>5.1446022886543137</v>
      </c>
      <c r="F32" s="137">
        <v>4.9977777777777774</v>
      </c>
      <c r="G32" s="137">
        <v>3.6483333333333334</v>
      </c>
      <c r="H32" s="137">
        <v>2.63</v>
      </c>
      <c r="I32" s="137">
        <v>4.666666666666667</v>
      </c>
      <c r="J32" s="137">
        <v>6.3472222222222214</v>
      </c>
      <c r="K32" s="137">
        <v>6.9044444444444446</v>
      </c>
      <c r="L32" s="137">
        <v>5.7899999999999991</v>
      </c>
      <c r="M32" s="137">
        <v>4.6463194270808827</v>
      </c>
      <c r="N32" s="137">
        <v>5.8958333333333339</v>
      </c>
      <c r="O32" s="137">
        <v>6.125</v>
      </c>
      <c r="P32" s="137">
        <v>5.6666666666666679</v>
      </c>
      <c r="Q32" s="137">
        <v>3.3968055208284307</v>
      </c>
      <c r="R32" s="137">
        <v>4.571388819434639</v>
      </c>
      <c r="S32" s="137">
        <v>2.2222222222222223</v>
      </c>
      <c r="T32" s="137">
        <v>4.0309937679404122</v>
      </c>
      <c r="U32" s="137">
        <v>4.4408921933085495</v>
      </c>
      <c r="V32" s="137">
        <v>4.04089219330855</v>
      </c>
      <c r="W32" s="137">
        <v>4.8408921933085498</v>
      </c>
      <c r="X32" s="137">
        <v>3.6210953425722758</v>
      </c>
      <c r="Y32" s="137">
        <v>2.6036908054895815</v>
      </c>
      <c r="Z32" s="137">
        <v>4.6384998796549697</v>
      </c>
      <c r="AA32" s="137">
        <v>6.9033181818181824</v>
      </c>
      <c r="AB32" s="137">
        <v>6.093</v>
      </c>
      <c r="AC32" s="137">
        <v>5.4499999999999993</v>
      </c>
      <c r="AD32" s="137">
        <v>6.7359999999999998</v>
      </c>
      <c r="AE32" s="137">
        <v>7.7136363636363638</v>
      </c>
      <c r="AF32" s="137">
        <v>5.5272727272727273</v>
      </c>
      <c r="AG32" s="218">
        <v>9.9</v>
      </c>
      <c r="AN32" s="40"/>
    </row>
    <row r="33" spans="1:40" s="135" customFormat="1" ht="15.75" customHeight="1" thickTop="1" thickBot="1" x14ac:dyDescent="0.25">
      <c r="A33" s="155"/>
      <c r="B33" s="365" t="s">
        <v>104</v>
      </c>
      <c r="C33" s="365" t="s">
        <v>49</v>
      </c>
      <c r="D33" s="365" t="s">
        <v>105</v>
      </c>
      <c r="E33" s="137">
        <v>4.8483099485918775</v>
      </c>
      <c r="F33" s="137">
        <v>4.0508333333333333</v>
      </c>
      <c r="G33" s="137">
        <v>2.7383333333333333</v>
      </c>
      <c r="H33" s="137">
        <v>1.31</v>
      </c>
      <c r="I33" s="137">
        <v>4.1666666666666661</v>
      </c>
      <c r="J33" s="137">
        <v>5.3633333333333333</v>
      </c>
      <c r="K33" s="137">
        <v>6.8066666666666675</v>
      </c>
      <c r="L33" s="137">
        <v>3.92</v>
      </c>
      <c r="M33" s="137">
        <v>6.4402913648792692</v>
      </c>
      <c r="N33" s="137">
        <v>8.4375000000000018</v>
      </c>
      <c r="O33" s="137">
        <v>8.8750000000000018</v>
      </c>
      <c r="P33" s="137">
        <v>8.0000000000000018</v>
      </c>
      <c r="Q33" s="137">
        <v>4.4430827297585367</v>
      </c>
      <c r="R33" s="137">
        <v>4.0713506447022585</v>
      </c>
      <c r="S33" s="137">
        <v>4.8148148148148149</v>
      </c>
      <c r="T33" s="137">
        <v>3.9252969143367276</v>
      </c>
      <c r="U33" s="137">
        <v>4.264356536849637</v>
      </c>
      <c r="V33" s="137">
        <v>4.0561177552897885</v>
      </c>
      <c r="W33" s="137">
        <v>4.4725953184094855</v>
      </c>
      <c r="X33" s="137">
        <v>3.5862372918238177</v>
      </c>
      <c r="Y33" s="137">
        <v>2.4123584377537055</v>
      </c>
      <c r="Z33" s="137">
        <v>4.7601161458939298</v>
      </c>
      <c r="AA33" s="137">
        <v>4.9768181818181816</v>
      </c>
      <c r="AB33" s="137">
        <v>3.99</v>
      </c>
      <c r="AC33" s="137">
        <v>3.9800000000000004</v>
      </c>
      <c r="AD33" s="137">
        <v>4</v>
      </c>
      <c r="AE33" s="137">
        <v>5.9636363636363638</v>
      </c>
      <c r="AF33" s="137">
        <v>5.5272727272727273</v>
      </c>
      <c r="AG33" s="218">
        <v>6.4</v>
      </c>
      <c r="AN33" s="40"/>
    </row>
    <row r="34" spans="1:40" s="135" customFormat="1" ht="15.75" customHeight="1" thickTop="1" thickBot="1" x14ac:dyDescent="0.25">
      <c r="A34" s="155"/>
      <c r="B34" s="365" t="s">
        <v>102</v>
      </c>
      <c r="C34" s="365" t="s">
        <v>49</v>
      </c>
      <c r="D34" s="365" t="s">
        <v>103</v>
      </c>
      <c r="E34" s="137">
        <v>4.6681379890468246</v>
      </c>
      <c r="F34" s="137">
        <v>5.0169444444444444</v>
      </c>
      <c r="G34" s="137">
        <v>5.2583333333333329</v>
      </c>
      <c r="H34" s="137">
        <v>4.0999999999999996</v>
      </c>
      <c r="I34" s="137">
        <v>6.416666666666667</v>
      </c>
      <c r="J34" s="137">
        <v>4.775555555555556</v>
      </c>
      <c r="K34" s="137">
        <v>4.8111111111111109</v>
      </c>
      <c r="L34" s="137">
        <v>4.74</v>
      </c>
      <c r="M34" s="137">
        <v>4.2954068157676968</v>
      </c>
      <c r="N34" s="137">
        <v>5.8541666666666661</v>
      </c>
      <c r="O34" s="137">
        <v>5.8749999999999991</v>
      </c>
      <c r="P34" s="137">
        <v>5.8333333333333339</v>
      </c>
      <c r="Q34" s="137">
        <v>2.736646964868727</v>
      </c>
      <c r="R34" s="137">
        <v>3.9918124482559727</v>
      </c>
      <c r="S34" s="137">
        <v>1.4814814814814814</v>
      </c>
      <c r="T34" s="137">
        <v>4.064200695975158</v>
      </c>
      <c r="U34" s="137">
        <v>4.1712142522269104</v>
      </c>
      <c r="V34" s="137">
        <v>3.8860759493670889</v>
      </c>
      <c r="W34" s="137">
        <v>4.456352555086732</v>
      </c>
      <c r="X34" s="137">
        <v>3.9571871397234064</v>
      </c>
      <c r="Y34" s="137">
        <v>2.740082825940648</v>
      </c>
      <c r="Z34" s="137">
        <v>5.1742914535061653</v>
      </c>
      <c r="AA34" s="137">
        <v>5.2959999999999994</v>
      </c>
      <c r="AB34" s="137">
        <v>4.742</v>
      </c>
      <c r="AC34" s="137">
        <v>4.05</v>
      </c>
      <c r="AD34" s="137">
        <v>5.4340000000000002</v>
      </c>
      <c r="AE34" s="137">
        <v>5.85</v>
      </c>
      <c r="AF34" s="137">
        <v>4.8</v>
      </c>
      <c r="AG34" s="218">
        <v>6.9</v>
      </c>
      <c r="AN34" s="40"/>
    </row>
    <row r="35" spans="1:40" s="135" customFormat="1" ht="15.75" customHeight="1" thickTop="1" thickBot="1" x14ac:dyDescent="0.25">
      <c r="A35" s="155"/>
      <c r="B35" s="365" t="s">
        <v>112</v>
      </c>
      <c r="C35" s="365"/>
      <c r="D35" s="365" t="s">
        <v>113</v>
      </c>
      <c r="E35" s="137">
        <v>4.65289951343218</v>
      </c>
      <c r="F35" s="137">
        <v>3.32</v>
      </c>
      <c r="G35" s="137">
        <v>3.6049999999999995</v>
      </c>
      <c r="H35" s="137">
        <v>1.71</v>
      </c>
      <c r="I35" s="137">
        <v>5.4999999999999991</v>
      </c>
      <c r="J35" s="137">
        <v>3.0350000000000001</v>
      </c>
      <c r="K35" s="137">
        <v>2.42</v>
      </c>
      <c r="L35" s="137">
        <v>3.65</v>
      </c>
      <c r="M35" s="137">
        <v>5.5620813466766652</v>
      </c>
      <c r="N35" s="137">
        <v>7</v>
      </c>
      <c r="O35" s="137">
        <v>8.5</v>
      </c>
      <c r="P35" s="137">
        <v>5.4999999999999991</v>
      </c>
      <c r="Q35" s="137">
        <v>4.1241626933533304</v>
      </c>
      <c r="R35" s="137">
        <v>3.8038809422622162</v>
      </c>
      <c r="S35" s="137">
        <v>4.4444444444444446</v>
      </c>
      <c r="T35" s="137">
        <v>4.8822718090928729</v>
      </c>
      <c r="U35" s="137">
        <v>4.9406067458074236</v>
      </c>
      <c r="V35" s="137">
        <v>4.3928773318258898</v>
      </c>
      <c r="W35" s="137">
        <v>5.4883361597889575</v>
      </c>
      <c r="X35" s="137">
        <v>4.8239368723783222</v>
      </c>
      <c r="Y35" s="137">
        <v>4.5559703970772336</v>
      </c>
      <c r="Z35" s="137">
        <v>5.0919033476794109</v>
      </c>
      <c r="AA35" s="137">
        <v>4.8472448979591833</v>
      </c>
      <c r="AB35" s="137">
        <v>4.2699999999999996</v>
      </c>
      <c r="AC35" s="137">
        <v>4.54</v>
      </c>
      <c r="AD35" s="137">
        <v>4</v>
      </c>
      <c r="AE35" s="137">
        <v>5.4244897959183671</v>
      </c>
      <c r="AF35" s="137">
        <v>5.2489795918367346</v>
      </c>
      <c r="AG35" s="218">
        <v>5.6</v>
      </c>
      <c r="AN35" s="40"/>
    </row>
    <row r="36" spans="1:40" s="135" customFormat="1" ht="15.75" customHeight="1" thickTop="1" thickBot="1" x14ac:dyDescent="0.25">
      <c r="A36" s="155"/>
      <c r="B36" s="365" t="s">
        <v>110</v>
      </c>
      <c r="C36" s="365"/>
      <c r="D36" s="365" t="s">
        <v>111</v>
      </c>
      <c r="E36" s="137">
        <v>4.5971863633931491</v>
      </c>
      <c r="F36" s="137">
        <v>5.9116666666666671</v>
      </c>
      <c r="G36" s="137">
        <v>6.7833333333333332</v>
      </c>
      <c r="H36" s="137">
        <v>6.65</v>
      </c>
      <c r="I36" s="137">
        <v>6.9166666666666652</v>
      </c>
      <c r="J36" s="137">
        <v>5.0400000000000009</v>
      </c>
      <c r="K36" s="137">
        <v>4.46</v>
      </c>
      <c r="L36" s="137">
        <v>5.620000000000001</v>
      </c>
      <c r="M36" s="137">
        <v>3.7141203703703702</v>
      </c>
      <c r="N36" s="137">
        <v>4.020833333333333</v>
      </c>
      <c r="O36" s="137">
        <v>2.875</v>
      </c>
      <c r="P36" s="137">
        <v>5.1666666666666661</v>
      </c>
      <c r="Q36" s="137">
        <v>3.4074074074074074</v>
      </c>
      <c r="R36" s="137">
        <v>2</v>
      </c>
      <c r="S36" s="137">
        <v>4.8148148148148149</v>
      </c>
      <c r="T36" s="137">
        <v>4.5086187938940476</v>
      </c>
      <c r="U36" s="137">
        <v>5.2017170216278679</v>
      </c>
      <c r="V36" s="137">
        <v>5.3090638930163445</v>
      </c>
      <c r="W36" s="137">
        <v>5.0943701502393921</v>
      </c>
      <c r="X36" s="137">
        <v>3.8155205661602283</v>
      </c>
      <c r="Y36" s="137">
        <v>3.8452370521804551</v>
      </c>
      <c r="Z36" s="137">
        <v>3.7858040801400019</v>
      </c>
      <c r="AA36" s="137">
        <v>4.2543396226415098</v>
      </c>
      <c r="AB36" s="137">
        <v>3.92</v>
      </c>
      <c r="AC36" s="137">
        <v>3.84</v>
      </c>
      <c r="AD36" s="137">
        <v>4</v>
      </c>
      <c r="AE36" s="137">
        <v>4.5886792452830187</v>
      </c>
      <c r="AF36" s="137">
        <v>5.1773584905660375</v>
      </c>
      <c r="AG36" s="218">
        <v>4</v>
      </c>
      <c r="AN36" s="40"/>
    </row>
    <row r="37" spans="1:40" s="40" customFormat="1" ht="15.75" customHeight="1" thickTop="1" thickBot="1" x14ac:dyDescent="0.25">
      <c r="A37" s="41"/>
      <c r="B37" s="365" t="s">
        <v>114</v>
      </c>
      <c r="C37" s="365" t="s">
        <v>49</v>
      </c>
      <c r="D37" s="365" t="s">
        <v>115</v>
      </c>
      <c r="E37" s="137">
        <v>4.2403938130948911</v>
      </c>
      <c r="F37" s="137">
        <v>3.2433333333333336</v>
      </c>
      <c r="G37" s="137">
        <v>3.2183333333333337</v>
      </c>
      <c r="H37" s="137">
        <v>1.77</v>
      </c>
      <c r="I37" s="137">
        <v>4.666666666666667</v>
      </c>
      <c r="J37" s="137">
        <v>3.2683333333333335</v>
      </c>
      <c r="K37" s="137">
        <v>2.8466666666666671</v>
      </c>
      <c r="L37" s="137">
        <v>3.69</v>
      </c>
      <c r="M37" s="137">
        <v>3.392774647847141</v>
      </c>
      <c r="N37" s="137">
        <v>3.7083333333333339</v>
      </c>
      <c r="O37" s="137">
        <v>1.7500000000000004</v>
      </c>
      <c r="P37" s="137">
        <v>5.6666666666666679</v>
      </c>
      <c r="Q37" s="137">
        <v>3.0772159623609481</v>
      </c>
      <c r="R37" s="137">
        <v>3.1914689617589338</v>
      </c>
      <c r="S37" s="137">
        <v>2.9629629629629628</v>
      </c>
      <c r="T37" s="137">
        <v>4.1379672711990905</v>
      </c>
      <c r="U37" s="137">
        <v>4.1449139280125191</v>
      </c>
      <c r="V37" s="137">
        <v>4.051643192488263</v>
      </c>
      <c r="W37" s="137">
        <v>4.2381846635367761</v>
      </c>
      <c r="X37" s="137">
        <v>4.1310206143856618</v>
      </c>
      <c r="Y37" s="137">
        <v>3.0961764985299705</v>
      </c>
      <c r="Z37" s="137">
        <v>5.1658647302413527</v>
      </c>
      <c r="AA37" s="220">
        <v>6.1875</v>
      </c>
      <c r="AB37" s="220">
        <v>5.7750000000000004</v>
      </c>
      <c r="AC37" s="220">
        <v>7.55</v>
      </c>
      <c r="AD37" s="220">
        <v>4</v>
      </c>
      <c r="AE37" s="220">
        <v>6.6</v>
      </c>
      <c r="AF37" s="220">
        <v>4</v>
      </c>
      <c r="AG37" s="221">
        <v>9.1999999999999993</v>
      </c>
    </row>
    <row r="38" spans="1:40" s="17" customFormat="1" ht="15.75" customHeight="1" thickTop="1" x14ac:dyDescent="0.2">
      <c r="A38" s="161"/>
      <c r="B38" s="161"/>
      <c r="C38" s="161"/>
      <c r="D38" s="161"/>
      <c r="E38" s="156"/>
      <c r="F38" s="156"/>
      <c r="G38" s="156"/>
      <c r="H38" s="219"/>
      <c r="I38" s="219"/>
      <c r="J38" s="219"/>
      <c r="K38" s="219"/>
      <c r="L38" s="219"/>
      <c r="M38" s="219"/>
      <c r="N38" s="219"/>
      <c r="O38" s="156"/>
      <c r="P38" s="156"/>
      <c r="Q38" s="156"/>
      <c r="R38" s="156"/>
      <c r="S38" s="156"/>
      <c r="T38" s="156"/>
      <c r="U38" s="156"/>
      <c r="V38" s="156"/>
      <c r="W38" s="156"/>
      <c r="X38" s="156"/>
      <c r="Y38" s="156"/>
      <c r="Z38" s="156"/>
      <c r="AA38" s="156"/>
      <c r="AB38" s="156"/>
      <c r="AC38" s="219"/>
      <c r="AD38" s="219"/>
      <c r="AE38" s="219"/>
      <c r="AF38" s="156"/>
      <c r="AG38" s="156"/>
    </row>
    <row r="39" spans="1:40" ht="15.75" customHeight="1" x14ac:dyDescent="0.2">
      <c r="B39" s="369" t="s">
        <v>1148</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row>
    <row r="40" spans="1:40" ht="12" customHeight="1" x14ac:dyDescent="0.2">
      <c r="B40" s="370" t="s">
        <v>1165</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row>
    <row r="41" spans="1:40" ht="15.75" customHeight="1" x14ac:dyDescent="0.2">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row>
    <row r="42" spans="1:40" ht="15.75" customHeight="1" x14ac:dyDescent="0.2"/>
    <row r="43" spans="1:40" ht="15.75" customHeight="1" x14ac:dyDescent="0.2">
      <c r="F43" s="364"/>
    </row>
    <row r="44" spans="1:40" ht="15.75" customHeight="1" x14ac:dyDescent="0.2">
      <c r="F44" s="364"/>
    </row>
    <row r="45" spans="1:40" ht="15.75" customHeight="1" x14ac:dyDescent="0.2">
      <c r="F45" s="34"/>
    </row>
    <row r="46" spans="1:40" ht="15.75" customHeight="1" x14ac:dyDescent="0.2">
      <c r="F46" s="34"/>
    </row>
    <row r="47" spans="1:40" ht="15.75" customHeight="1" x14ac:dyDescent="0.2">
      <c r="F47" s="34"/>
    </row>
    <row r="48" spans="1:40" ht="15.75" customHeight="1" x14ac:dyDescent="0.2">
      <c r="F48" s="34"/>
    </row>
    <row r="49" spans="6:6" ht="15.75" customHeight="1" x14ac:dyDescent="0.2">
      <c r="F49" s="34"/>
    </row>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sheetData>
  <sheetProtection sort="0" autoFilter="0"/>
  <protectedRanges>
    <protectedRange sqref="B3:AG3" name="Range1"/>
  </protectedRanges>
  <autoFilter ref="B3:AG37" xr:uid="{033EB5F4-4E89-4C1D-B4C4-B2EEA8C1605D}">
    <sortState xmlns:xlrd2="http://schemas.microsoft.com/office/spreadsheetml/2017/richdata2" ref="B4:AG37">
      <sortCondition descending="1" ref="E3:E37"/>
    </sortState>
  </autoFilter>
  <mergeCells count="3">
    <mergeCell ref="B39:AG39"/>
    <mergeCell ref="B40:AG40"/>
    <mergeCell ref="B2:D2"/>
  </mergeCells>
  <conditionalFormatting sqref="M5:AG37 G4:L4 N4:S4 U4:AG4">
    <cfRule type="cellIs" dxfId="32" priority="40" stopIfTrue="1" operator="lessThan">
      <formula>3.05</formula>
    </cfRule>
  </conditionalFormatting>
  <conditionalFormatting sqref="G4:L4">
    <cfRule type="cellIs" dxfId="31" priority="85" operator="between">
      <formula>2.5</formula>
      <formula>5</formula>
    </cfRule>
    <cfRule type="cellIs" dxfId="30" priority="86" operator="between">
      <formula>5</formula>
      <formula>7.5</formula>
    </cfRule>
    <cfRule type="cellIs" dxfId="29" priority="87" operator="greaterThan">
      <formula>7.5</formula>
    </cfRule>
  </conditionalFormatting>
  <conditionalFormatting sqref="M5:S37 N4:S4">
    <cfRule type="cellIs" dxfId="28" priority="165" operator="between">
      <formula>2.5</formula>
      <formula>5</formula>
    </cfRule>
    <cfRule type="cellIs" dxfId="27" priority="166" operator="between">
      <formula>5</formula>
      <formula>7.5</formula>
    </cfRule>
    <cfRule type="cellIs" dxfId="26" priority="167" operator="greaterThan">
      <formula>7.5</formula>
    </cfRule>
  </conditionalFormatting>
  <conditionalFormatting sqref="T5:Z37 U4:Z4">
    <cfRule type="cellIs" dxfId="25" priority="149" operator="between">
      <formula>2.5</formula>
      <formula>5</formula>
    </cfRule>
    <cfRule type="cellIs" dxfId="24" priority="150" operator="between">
      <formula>5</formula>
      <formula>7.5</formula>
    </cfRule>
    <cfRule type="cellIs" dxfId="23" priority="151" operator="greaterThan">
      <formula>7.5</formula>
    </cfRule>
  </conditionalFormatting>
  <conditionalFormatting sqref="AA4:AG37">
    <cfRule type="cellIs" dxfId="22" priority="129" stopIfTrue="1" operator="between">
      <formula>3.05</formula>
      <formula>5.05</formula>
    </cfRule>
    <cfRule type="cellIs" dxfId="21" priority="130" stopIfTrue="1" operator="between">
      <formula>5.05</formula>
      <formula>7.05</formula>
    </cfRule>
    <cfRule type="cellIs" dxfId="20" priority="131" stopIfTrue="1" operator="greaterThan">
      <formula>7.05</formula>
    </cfRule>
  </conditionalFormatting>
  <conditionalFormatting sqref="E4:E37">
    <cfRule type="cellIs" dxfId="19" priority="34" stopIfTrue="1" operator="between">
      <formula>3.05</formula>
      <formula>5.05</formula>
    </cfRule>
    <cfRule type="cellIs" dxfId="18" priority="35" stopIfTrue="1" operator="between">
      <formula>5.05</formula>
      <formula>7.05</formula>
    </cfRule>
    <cfRule type="cellIs" dxfId="17" priority="36" stopIfTrue="1" operator="greaterThan">
      <formula>7.05</formula>
    </cfRule>
  </conditionalFormatting>
  <conditionalFormatting sqref="E4:E37">
    <cfRule type="cellIs" dxfId="16" priority="33" operator="lessThan">
      <formula>3.05</formula>
    </cfRule>
  </conditionalFormatting>
  <conditionalFormatting sqref="F4">
    <cfRule type="cellIs" dxfId="15" priority="29" operator="lessThan">
      <formula>3.05</formula>
    </cfRule>
  </conditionalFormatting>
  <conditionalFormatting sqref="F4">
    <cfRule type="cellIs" dxfId="14" priority="30" operator="between">
      <formula>3.05</formula>
      <formula>5.05</formula>
    </cfRule>
    <cfRule type="cellIs" dxfId="13" priority="31" operator="between">
      <formula>5.05</formula>
      <formula>7.05</formula>
    </cfRule>
    <cfRule type="cellIs" dxfId="12" priority="32" operator="greaterThan">
      <formula>7.05</formula>
    </cfRule>
  </conditionalFormatting>
  <conditionalFormatting sqref="F5:L37">
    <cfRule type="cellIs" dxfId="11" priority="25" operator="lessThan">
      <formula>3.05</formula>
    </cfRule>
  </conditionalFormatting>
  <conditionalFormatting sqref="F5:L37">
    <cfRule type="cellIs" dxfId="10" priority="26" operator="between">
      <formula>3.05</formula>
      <formula>5.05</formula>
    </cfRule>
    <cfRule type="cellIs" dxfId="9" priority="27" operator="between">
      <formula>5.05</formula>
      <formula>7.05</formula>
    </cfRule>
    <cfRule type="cellIs" dxfId="8" priority="28" operator="greaterThan">
      <formula>7.05</formula>
    </cfRule>
  </conditionalFormatting>
  <conditionalFormatting sqref="M4:S37">
    <cfRule type="cellIs" dxfId="7" priority="21" operator="lessThan">
      <formula>3.05</formula>
    </cfRule>
  </conditionalFormatting>
  <conditionalFormatting sqref="M4:S37">
    <cfRule type="cellIs" dxfId="6" priority="22" operator="between">
      <formula>3.05</formula>
      <formula>5.05</formula>
    </cfRule>
    <cfRule type="cellIs" dxfId="5" priority="23" operator="between">
      <formula>5.05</formula>
      <formula>7.05</formula>
    </cfRule>
    <cfRule type="cellIs" dxfId="4" priority="24" operator="greaterThan">
      <formula>7.05</formula>
    </cfRule>
  </conditionalFormatting>
  <conditionalFormatting sqref="T4:Z37">
    <cfRule type="cellIs" dxfId="3" priority="17" operator="lessThan">
      <formula>3.05</formula>
    </cfRule>
  </conditionalFormatting>
  <conditionalFormatting sqref="T4:Z37">
    <cfRule type="cellIs" dxfId="2" priority="18" operator="between">
      <formula>3.05</formula>
      <formula>5.05</formula>
    </cfRule>
    <cfRule type="cellIs" dxfId="1" priority="19" operator="between">
      <formula>5.05</formula>
      <formula>7.05</formula>
    </cfRule>
    <cfRule type="cellIs" dxfId="0" priority="20" operator="greaterThan">
      <formula>7.05</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E26F-98DB-4DCB-86D4-DCEA2447B034}">
  <sheetPr>
    <tabColor rgb="FFFCE4D6"/>
  </sheetPr>
  <dimension ref="A1:U41"/>
  <sheetViews>
    <sheetView showGridLines="0" workbookViewId="0">
      <selection activeCell="P46" sqref="P46"/>
    </sheetView>
  </sheetViews>
  <sheetFormatPr baseColWidth="10" defaultColWidth="9" defaultRowHeight="16" x14ac:dyDescent="0.2"/>
  <cols>
    <col min="1" max="1" width="12.6640625" style="17" customWidth="1"/>
    <col min="2" max="3" width="6.33203125" style="17" customWidth="1"/>
    <col min="4" max="5" width="7.1640625" style="27" customWidth="1"/>
    <col min="6" max="6" width="5.6640625" style="27" customWidth="1"/>
    <col min="7" max="8" width="7.1640625" style="27" customWidth="1"/>
    <col min="9" max="9" width="5.6640625" style="27" customWidth="1"/>
    <col min="10" max="11" width="7.1640625" style="27" customWidth="1"/>
    <col min="12" max="12" width="5.6640625" style="27" customWidth="1"/>
    <col min="13" max="15" width="7.1640625" style="27" customWidth="1"/>
    <col min="16" max="16" width="7.83203125" style="27" customWidth="1"/>
    <col min="17" max="17" width="11.1640625" style="27" customWidth="1"/>
    <col min="18" max="18" width="10.33203125" style="27" customWidth="1"/>
    <col min="19" max="19" width="7.6640625" style="27" customWidth="1"/>
    <col min="20" max="20" width="6.83203125" style="27" customWidth="1"/>
    <col min="21" max="21" width="9" style="27"/>
    <col min="22" max="16384" width="9" style="17"/>
  </cols>
  <sheetData>
    <row r="1" spans="1:21" s="40" customFormat="1" ht="81" customHeight="1" x14ac:dyDescent="0.2">
      <c r="D1" s="373" t="s">
        <v>116</v>
      </c>
      <c r="E1" s="373"/>
      <c r="F1" s="373"/>
      <c r="G1" s="373" t="s">
        <v>117</v>
      </c>
      <c r="H1" s="373"/>
      <c r="I1" s="373"/>
      <c r="J1" s="373" t="s">
        <v>118</v>
      </c>
      <c r="K1" s="373"/>
      <c r="L1" s="373"/>
      <c r="M1" s="373" t="s">
        <v>119</v>
      </c>
      <c r="N1" s="373"/>
      <c r="O1" s="373"/>
      <c r="P1" s="267"/>
      <c r="Q1" s="373" t="s">
        <v>120</v>
      </c>
      <c r="R1" s="373"/>
      <c r="S1" s="373"/>
      <c r="T1" s="267"/>
      <c r="U1" s="55"/>
    </row>
    <row r="2" spans="1:21" x14ac:dyDescent="0.2">
      <c r="A2" s="8"/>
      <c r="B2" s="9" t="s">
        <v>121</v>
      </c>
      <c r="C2" s="23"/>
      <c r="D2" s="23"/>
      <c r="E2" s="23"/>
      <c r="F2" s="29"/>
      <c r="G2" s="23"/>
      <c r="H2" s="23"/>
      <c r="I2" s="23"/>
      <c r="J2" s="23"/>
      <c r="K2" s="23"/>
      <c r="L2" s="23"/>
      <c r="M2" s="23"/>
      <c r="N2" s="23"/>
      <c r="O2" s="23"/>
      <c r="P2" s="23"/>
      <c r="Q2" s="23" t="s">
        <v>122</v>
      </c>
      <c r="R2" s="23"/>
      <c r="S2" s="23">
        <v>0</v>
      </c>
      <c r="T2" s="23"/>
    </row>
    <row r="3" spans="1:21" x14ac:dyDescent="0.2">
      <c r="A3" s="8"/>
      <c r="B3" s="9" t="s">
        <v>123</v>
      </c>
      <c r="C3" s="23"/>
      <c r="D3" s="23"/>
      <c r="E3" s="23"/>
      <c r="F3" s="29"/>
      <c r="G3" s="23"/>
      <c r="H3" s="23"/>
      <c r="I3" s="23"/>
      <c r="J3" s="23"/>
      <c r="K3" s="23"/>
      <c r="L3" s="23"/>
      <c r="M3" s="23"/>
      <c r="N3" s="23"/>
      <c r="O3" s="23"/>
      <c r="P3" s="23"/>
      <c r="Q3" s="23" t="s">
        <v>122</v>
      </c>
      <c r="R3" s="23"/>
      <c r="S3" s="179">
        <v>50</v>
      </c>
      <c r="T3" s="23"/>
    </row>
    <row r="4" spans="1:21" s="40" customFormat="1" ht="14" x14ac:dyDescent="0.2">
      <c r="A4" s="10" t="s">
        <v>124</v>
      </c>
      <c r="B4" s="11" t="s">
        <v>47</v>
      </c>
      <c r="C4" s="68" t="s">
        <v>125</v>
      </c>
      <c r="D4" s="66" t="s">
        <v>126</v>
      </c>
      <c r="E4" s="67" t="s">
        <v>127</v>
      </c>
      <c r="F4" s="67" t="s">
        <v>128</v>
      </c>
      <c r="G4" s="67" t="s">
        <v>126</v>
      </c>
      <c r="H4" s="67" t="s">
        <v>127</v>
      </c>
      <c r="I4" s="67" t="s">
        <v>128</v>
      </c>
      <c r="J4" s="67" t="s">
        <v>126</v>
      </c>
      <c r="K4" s="67" t="s">
        <v>127</v>
      </c>
      <c r="L4" s="67" t="s">
        <v>128</v>
      </c>
      <c r="M4" s="67" t="s">
        <v>126</v>
      </c>
      <c r="N4" s="67" t="s">
        <v>127</v>
      </c>
      <c r="O4" s="67" t="s">
        <v>128</v>
      </c>
      <c r="P4" s="68" t="s">
        <v>125</v>
      </c>
      <c r="Q4" s="69" t="s">
        <v>129</v>
      </c>
      <c r="R4" s="69" t="s">
        <v>126</v>
      </c>
      <c r="S4" s="67" t="s">
        <v>128</v>
      </c>
      <c r="T4" s="68" t="s">
        <v>125</v>
      </c>
    </row>
    <row r="5" spans="1:21" x14ac:dyDescent="0.2">
      <c r="A5" s="18" t="s">
        <v>48</v>
      </c>
      <c r="B5" s="18" t="s">
        <v>50</v>
      </c>
      <c r="C5" s="49">
        <f>IF(AVERAGE(P5,T5)&lt;1,1,IF(AVERAGE(P5,T5)&gt;9.9,9.9,AVERAGE(P5,T5)))</f>
        <v>8</v>
      </c>
      <c r="D5" s="43">
        <v>2023</v>
      </c>
      <c r="E5" s="43" t="str">
        <f>VLOOKUP($B5,'World Bank'!$C:$F,2,FALSE)</f>
        <v>No</v>
      </c>
      <c r="F5" s="46">
        <f>IF(E5="Yes",1,0)</f>
        <v>0</v>
      </c>
      <c r="G5" s="43">
        <v>2023</v>
      </c>
      <c r="H5" s="43" t="str">
        <f>VLOOKUP($B5,'World Bank'!$C:$F,3,FALSE)</f>
        <v>Yes</v>
      </c>
      <c r="I5" s="46">
        <f>IF(H5="Yes",1,0)</f>
        <v>1</v>
      </c>
      <c r="J5" s="43">
        <v>2023</v>
      </c>
      <c r="K5" s="43" t="str">
        <f>VLOOKUP($B5,'World Bank'!$C:$F,4,FALSE)</f>
        <v>Yes</v>
      </c>
      <c r="L5" s="46">
        <f>IF(K5="Yes",1,0)</f>
        <v>1</v>
      </c>
      <c r="M5" s="43">
        <v>2022</v>
      </c>
      <c r="N5" s="178" t="s">
        <v>130</v>
      </c>
      <c r="O5" s="46">
        <f>IF(N5="Yes",1,0)</f>
        <v>0</v>
      </c>
      <c r="P5" s="48">
        <f>10-((F5+I5+L5+O5)*2)</f>
        <v>6</v>
      </c>
      <c r="Q5" s="47" t="s">
        <v>960</v>
      </c>
      <c r="R5" s="47">
        <f>VLOOKUP($B5,'World Bank'!$C:$H,6,FALSE)</f>
        <v>2015</v>
      </c>
      <c r="S5" s="331">
        <f>VLOOKUP($B5,'World Bank'!$C:$H,5,FALSE)</f>
        <v>80.2</v>
      </c>
      <c r="T5" s="48">
        <f>IF((S5/$S$3)*10&gt;10,10,(S5/$S$3)*10)</f>
        <v>10</v>
      </c>
    </row>
    <row r="6" spans="1:21" x14ac:dyDescent="0.2">
      <c r="A6" s="18" t="s">
        <v>133</v>
      </c>
      <c r="B6" s="18" t="s">
        <v>134</v>
      </c>
      <c r="C6" s="49">
        <f t="shared" ref="C6:C38" si="0">IF(AVERAGE(P6,T6)&lt;1,1,IF(AVERAGE(P6,T6)&gt;9.9,9.9,AVERAGE(P6,T6)))</f>
        <v>4.01</v>
      </c>
      <c r="D6" s="43">
        <v>2023</v>
      </c>
      <c r="E6" s="43" t="str">
        <f>VLOOKUP($B6,'World Bank'!$C:$F,2,FALSE)</f>
        <v>Yes</v>
      </c>
      <c r="F6" s="46">
        <f t="shared" ref="F6:F38" si="1">IF(E6="Yes",1,0)</f>
        <v>1</v>
      </c>
      <c r="G6" s="43">
        <v>2023</v>
      </c>
      <c r="H6" s="43" t="str">
        <f>VLOOKUP($B6,'World Bank'!$C:$F,3,FALSE)</f>
        <v>Yes</v>
      </c>
      <c r="I6" s="46">
        <f t="shared" ref="I6:I38" si="2">IF(H6="Yes",1,0)</f>
        <v>1</v>
      </c>
      <c r="J6" s="43">
        <v>2023</v>
      </c>
      <c r="K6" s="43" t="str">
        <f>VLOOKUP($B6,'World Bank'!$C:$F,4,FALSE)</f>
        <v>No</v>
      </c>
      <c r="L6" s="46">
        <f t="shared" ref="L6:L38" si="3">IF(K6="Yes",1,0)</f>
        <v>0</v>
      </c>
      <c r="M6" s="43">
        <v>2022</v>
      </c>
      <c r="N6" s="178" t="s">
        <v>131</v>
      </c>
      <c r="O6" s="46">
        <f t="shared" ref="O6:O38" si="4">IF(N6="Yes",1,0)</f>
        <v>1</v>
      </c>
      <c r="P6" s="48">
        <f t="shared" ref="P6:P38" si="5">10-((F6+I6+L6+O6)*2)</f>
        <v>4</v>
      </c>
      <c r="Q6" s="47" t="s">
        <v>960</v>
      </c>
      <c r="R6" s="47">
        <f>VLOOKUP($B6,'World Bank'!$C:$H,6,FALSE)</f>
        <v>2018</v>
      </c>
      <c r="S6" s="331">
        <f>VLOOKUP($B6,'World Bank'!$C:$H,5,FALSE)</f>
        <v>20.100000000000001</v>
      </c>
      <c r="T6" s="48">
        <f t="shared" ref="T6:T38" si="6">IF((S6/$S$3)*10&gt;10,10,(S6/$S$3)*10)</f>
        <v>4.0200000000000005</v>
      </c>
    </row>
    <row r="7" spans="1:21" x14ac:dyDescent="0.2">
      <c r="A7" s="18" t="s">
        <v>98</v>
      </c>
      <c r="B7" s="18" t="s">
        <v>99</v>
      </c>
      <c r="C7" s="49">
        <f t="shared" si="0"/>
        <v>5.35</v>
      </c>
      <c r="D7" s="43">
        <v>2023</v>
      </c>
      <c r="E7" s="43" t="str">
        <f>VLOOKUP($B7,'World Bank'!$C:$F,2,FALSE)</f>
        <v>Yes</v>
      </c>
      <c r="F7" s="46">
        <f t="shared" si="1"/>
        <v>1</v>
      </c>
      <c r="G7" s="43">
        <v>2023</v>
      </c>
      <c r="H7" s="43" t="str">
        <f>VLOOKUP($B7,'World Bank'!$C:$F,3,FALSE)</f>
        <v>Yes</v>
      </c>
      <c r="I7" s="46">
        <f t="shared" si="2"/>
        <v>1</v>
      </c>
      <c r="J7" s="43">
        <v>2023</v>
      </c>
      <c r="K7" s="43" t="str">
        <f>VLOOKUP($B7,'World Bank'!$C:$F,4,FALSE)</f>
        <v>Yes</v>
      </c>
      <c r="L7" s="46">
        <f t="shared" si="3"/>
        <v>1</v>
      </c>
      <c r="M7" s="43">
        <v>2022</v>
      </c>
      <c r="N7" s="178" t="s">
        <v>131</v>
      </c>
      <c r="O7" s="46">
        <f t="shared" si="4"/>
        <v>1</v>
      </c>
      <c r="P7" s="48">
        <f t="shared" si="5"/>
        <v>2</v>
      </c>
      <c r="Q7" s="47" t="s">
        <v>960</v>
      </c>
      <c r="R7" s="47">
        <f>VLOOKUP($B7,'World Bank'!$C:$H,6,FALSE)</f>
        <v>2010</v>
      </c>
      <c r="S7" s="331">
        <f>VLOOKUP($B7,'World Bank'!$C:$H,5,FALSE)</f>
        <v>43.5</v>
      </c>
      <c r="T7" s="48">
        <f t="shared" si="6"/>
        <v>8.6999999999999993</v>
      </c>
    </row>
    <row r="8" spans="1:21" x14ac:dyDescent="0.2">
      <c r="A8" s="18" t="s">
        <v>88</v>
      </c>
      <c r="B8" s="18" t="s">
        <v>89</v>
      </c>
      <c r="C8" s="49">
        <f t="shared" si="0"/>
        <v>6</v>
      </c>
      <c r="D8" s="43">
        <v>2023</v>
      </c>
      <c r="E8" s="43" t="str">
        <f>VLOOKUP($B8,'World Bank'!$C:$F,2,FALSE)</f>
        <v>Yes</v>
      </c>
      <c r="F8" s="46">
        <f t="shared" si="1"/>
        <v>1</v>
      </c>
      <c r="G8" s="43">
        <v>2023</v>
      </c>
      <c r="H8" s="43" t="str">
        <f>VLOOKUP($B8,'World Bank'!$C:$F,3,FALSE)</f>
        <v>Yes</v>
      </c>
      <c r="I8" s="46">
        <f t="shared" si="2"/>
        <v>1</v>
      </c>
      <c r="J8" s="43">
        <v>2023</v>
      </c>
      <c r="K8" s="43" t="str">
        <f>VLOOKUP($B8,'World Bank'!$C:$F,4,FALSE)</f>
        <v>Yes</v>
      </c>
      <c r="L8" s="46">
        <f t="shared" si="3"/>
        <v>1</v>
      </c>
      <c r="M8" s="43">
        <v>2022</v>
      </c>
      <c r="N8" s="178" t="s">
        <v>131</v>
      </c>
      <c r="O8" s="46">
        <f t="shared" si="4"/>
        <v>1</v>
      </c>
      <c r="P8" s="48">
        <f t="shared" si="5"/>
        <v>2</v>
      </c>
      <c r="Q8" s="47" t="s">
        <v>960</v>
      </c>
      <c r="R8" s="47">
        <f>VLOOKUP($B8,'World Bank'!$C:$H,6,FALSE)</f>
        <v>2017</v>
      </c>
      <c r="S8" s="331">
        <f>VLOOKUP($B8,'World Bank'!$C:$H,5,FALSE)</f>
        <v>61.8</v>
      </c>
      <c r="T8" s="48">
        <f t="shared" si="6"/>
        <v>10</v>
      </c>
    </row>
    <row r="9" spans="1:21" x14ac:dyDescent="0.2">
      <c r="A9" s="18" t="s">
        <v>92</v>
      </c>
      <c r="B9" s="18" t="s">
        <v>93</v>
      </c>
      <c r="C9" s="49">
        <f t="shared" si="0"/>
        <v>5.77</v>
      </c>
      <c r="D9" s="43">
        <v>2023</v>
      </c>
      <c r="E9" s="43" t="str">
        <f>VLOOKUP($B9,'World Bank'!$C:$F,2,FALSE)</f>
        <v>No</v>
      </c>
      <c r="F9" s="46">
        <f t="shared" si="1"/>
        <v>0</v>
      </c>
      <c r="G9" s="43">
        <v>2023</v>
      </c>
      <c r="H9" s="43" t="str">
        <f>VLOOKUP($B9,'World Bank'!$C:$F,3,FALSE)</f>
        <v>Yes</v>
      </c>
      <c r="I9" s="46">
        <f t="shared" si="2"/>
        <v>1</v>
      </c>
      <c r="J9" s="43">
        <v>2023</v>
      </c>
      <c r="K9" s="43" t="str">
        <f>VLOOKUP($B9,'World Bank'!$C:$F,4,FALSE)</f>
        <v>Yes</v>
      </c>
      <c r="L9" s="46">
        <f t="shared" si="3"/>
        <v>1</v>
      </c>
      <c r="M9" s="43">
        <v>2022</v>
      </c>
      <c r="N9" s="178" t="s">
        <v>130</v>
      </c>
      <c r="O9" s="46">
        <f t="shared" si="4"/>
        <v>0</v>
      </c>
      <c r="P9" s="48">
        <f t="shared" si="5"/>
        <v>6</v>
      </c>
      <c r="Q9" s="47" t="s">
        <v>960</v>
      </c>
      <c r="R9" s="47">
        <f>VLOOKUP($B9,'World Bank'!$C:$H,6,FALSE)</f>
        <v>2018</v>
      </c>
      <c r="S9" s="331">
        <f>VLOOKUP($B9,'World Bank'!$C:$H,5,FALSE)</f>
        <v>27.7</v>
      </c>
      <c r="T9" s="48">
        <f t="shared" si="6"/>
        <v>5.5399999999999991</v>
      </c>
    </row>
    <row r="10" spans="1:21" x14ac:dyDescent="0.2">
      <c r="A10" s="18" t="s">
        <v>75</v>
      </c>
      <c r="B10" s="18" t="s">
        <v>76</v>
      </c>
      <c r="C10" s="49">
        <f t="shared" si="0"/>
        <v>6</v>
      </c>
      <c r="D10" s="43">
        <v>2023</v>
      </c>
      <c r="E10" s="43" t="str">
        <f>VLOOKUP($B10,'World Bank'!$C:$F,2,FALSE)</f>
        <v>Yes</v>
      </c>
      <c r="F10" s="46">
        <f t="shared" si="1"/>
        <v>1</v>
      </c>
      <c r="G10" s="43">
        <v>2023</v>
      </c>
      <c r="H10" s="43" t="str">
        <f>VLOOKUP($B10,'World Bank'!$C:$F,3,FALSE)</f>
        <v>Yes</v>
      </c>
      <c r="I10" s="46">
        <f t="shared" si="2"/>
        <v>1</v>
      </c>
      <c r="J10" s="43">
        <v>2023</v>
      </c>
      <c r="K10" s="43" t="str">
        <f>VLOOKUP($B10,'World Bank'!$C:$F,4,FALSE)</f>
        <v>Yes</v>
      </c>
      <c r="L10" s="46">
        <f t="shared" si="3"/>
        <v>1</v>
      </c>
      <c r="M10" s="43">
        <v>2022</v>
      </c>
      <c r="N10" s="178" t="s">
        <v>131</v>
      </c>
      <c r="O10" s="46">
        <f t="shared" si="4"/>
        <v>1</v>
      </c>
      <c r="P10" s="48">
        <f t="shared" si="5"/>
        <v>2</v>
      </c>
      <c r="Q10" s="47" t="s">
        <v>135</v>
      </c>
      <c r="R10" s="47" t="s">
        <v>136</v>
      </c>
      <c r="S10" s="331">
        <v>64.7</v>
      </c>
      <c r="T10" s="48">
        <f t="shared" si="6"/>
        <v>10</v>
      </c>
    </row>
    <row r="11" spans="1:21" x14ac:dyDescent="0.2">
      <c r="A11" s="18" t="s">
        <v>67</v>
      </c>
      <c r="B11" s="18" t="s">
        <v>68</v>
      </c>
      <c r="C11" s="49">
        <f t="shared" si="0"/>
        <v>6</v>
      </c>
      <c r="D11" s="43">
        <v>2023</v>
      </c>
      <c r="E11" s="43" t="str">
        <f>VLOOKUP($B11,'World Bank'!$C:$F,2,FALSE)</f>
        <v>Yes</v>
      </c>
      <c r="F11" s="46">
        <f t="shared" si="1"/>
        <v>1</v>
      </c>
      <c r="G11" s="43">
        <v>2023</v>
      </c>
      <c r="H11" s="43" t="str">
        <f>VLOOKUP($B11,'World Bank'!$C:$F,3,FALSE)</f>
        <v>Yes</v>
      </c>
      <c r="I11" s="46">
        <f t="shared" si="2"/>
        <v>1</v>
      </c>
      <c r="J11" s="43">
        <v>2023</v>
      </c>
      <c r="K11" s="43" t="str">
        <f>VLOOKUP($B11,'World Bank'!$C:$F,4,FALSE)</f>
        <v>Yes</v>
      </c>
      <c r="L11" s="46">
        <f t="shared" si="3"/>
        <v>1</v>
      </c>
      <c r="M11" s="43">
        <v>2022</v>
      </c>
      <c r="N11" s="178" t="s">
        <v>131</v>
      </c>
      <c r="O11" s="46">
        <f t="shared" si="4"/>
        <v>1</v>
      </c>
      <c r="P11" s="48">
        <f t="shared" si="5"/>
        <v>2</v>
      </c>
      <c r="Q11" s="47" t="s">
        <v>960</v>
      </c>
      <c r="R11" s="47">
        <f>VLOOKUP($B11,'World Bank'!$C:$H,6,FALSE)</f>
        <v>2015</v>
      </c>
      <c r="S11" s="331">
        <f>VLOOKUP($B11,'World Bank'!$C:$H,5,FALSE)</f>
        <v>73.5</v>
      </c>
      <c r="T11" s="48">
        <f t="shared" si="6"/>
        <v>10</v>
      </c>
    </row>
    <row r="12" spans="1:21" x14ac:dyDescent="0.2">
      <c r="A12" s="18" t="s">
        <v>104</v>
      </c>
      <c r="B12" s="18" t="s">
        <v>105</v>
      </c>
      <c r="C12" s="49">
        <f t="shared" si="0"/>
        <v>1.31</v>
      </c>
      <c r="D12" s="43">
        <v>2023</v>
      </c>
      <c r="E12" s="43" t="str">
        <f>VLOOKUP($B12,'World Bank'!$C:$F,2,FALSE)</f>
        <v>Yes</v>
      </c>
      <c r="F12" s="46">
        <f t="shared" si="1"/>
        <v>1</v>
      </c>
      <c r="G12" s="43">
        <v>2023</v>
      </c>
      <c r="H12" s="43" t="str">
        <f>VLOOKUP($B12,'World Bank'!$C:$F,3,FALSE)</f>
        <v>Yes</v>
      </c>
      <c r="I12" s="46">
        <f t="shared" si="2"/>
        <v>1</v>
      </c>
      <c r="J12" s="43">
        <v>2023</v>
      </c>
      <c r="K12" s="43" t="str">
        <f>VLOOKUP($B12,'World Bank'!$C:$F,4,FALSE)</f>
        <v>Yes</v>
      </c>
      <c r="L12" s="46">
        <f t="shared" si="3"/>
        <v>1</v>
      </c>
      <c r="M12" s="43">
        <v>2022</v>
      </c>
      <c r="N12" s="178" t="s">
        <v>131</v>
      </c>
      <c r="O12" s="46">
        <f t="shared" si="4"/>
        <v>1</v>
      </c>
      <c r="P12" s="48">
        <f t="shared" si="5"/>
        <v>2</v>
      </c>
      <c r="Q12" s="47" t="s">
        <v>960</v>
      </c>
      <c r="R12" s="47">
        <f>VLOOKUP($B12,'World Bank'!$C:$H,6,FALSE)</f>
        <v>2015</v>
      </c>
      <c r="S12" s="331">
        <f>VLOOKUP($B12,'World Bank'!$C:$H,5,FALSE)</f>
        <v>3.1</v>
      </c>
      <c r="T12" s="48">
        <f t="shared" si="6"/>
        <v>0.62</v>
      </c>
    </row>
    <row r="13" spans="1:21" x14ac:dyDescent="0.2">
      <c r="A13" s="18" t="s">
        <v>63</v>
      </c>
      <c r="B13" s="18" t="s">
        <v>64</v>
      </c>
      <c r="C13" s="49">
        <f t="shared" si="0"/>
        <v>8</v>
      </c>
      <c r="D13" s="43">
        <v>2023</v>
      </c>
      <c r="E13" s="43" t="str">
        <f>VLOOKUP($B13,'World Bank'!$C:$F,2,FALSE)</f>
        <v>No</v>
      </c>
      <c r="F13" s="46">
        <f t="shared" si="1"/>
        <v>0</v>
      </c>
      <c r="G13" s="43">
        <v>2023</v>
      </c>
      <c r="H13" s="43" t="str">
        <f>VLOOKUP($B13,'World Bank'!$C:$F,3,FALSE)</f>
        <v>Yes</v>
      </c>
      <c r="I13" s="46">
        <f t="shared" si="2"/>
        <v>1</v>
      </c>
      <c r="J13" s="43">
        <v>2023</v>
      </c>
      <c r="K13" s="43" t="str">
        <f>VLOOKUP($B13,'World Bank'!$C:$F,4,FALSE)</f>
        <v>Yes</v>
      </c>
      <c r="L13" s="46">
        <f t="shared" si="3"/>
        <v>1</v>
      </c>
      <c r="M13" s="43">
        <v>2022</v>
      </c>
      <c r="N13" s="178" t="s">
        <v>130</v>
      </c>
      <c r="O13" s="46">
        <f t="shared" si="4"/>
        <v>0</v>
      </c>
      <c r="P13" s="48">
        <f t="shared" si="5"/>
        <v>6</v>
      </c>
      <c r="Q13" s="47" t="s">
        <v>960</v>
      </c>
      <c r="R13" s="47">
        <f>VLOOKUP($B13,'World Bank'!$C:$H,6,FALSE)</f>
        <v>2014</v>
      </c>
      <c r="S13" s="331">
        <f>VLOOKUP($B13,'World Bank'!$C:$H,5,FALSE)</f>
        <v>74.8</v>
      </c>
      <c r="T13" s="48">
        <f t="shared" si="6"/>
        <v>10</v>
      </c>
    </row>
    <row r="14" spans="1:21" x14ac:dyDescent="0.2">
      <c r="A14" s="18" t="s">
        <v>114</v>
      </c>
      <c r="B14" s="18" t="s">
        <v>115</v>
      </c>
      <c r="C14" s="49">
        <f t="shared" si="0"/>
        <v>1.77</v>
      </c>
      <c r="D14" s="43">
        <v>2023</v>
      </c>
      <c r="E14" s="43" t="str">
        <f>VLOOKUP($B14,'World Bank'!$C:$F,2,FALSE)</f>
        <v>Yes</v>
      </c>
      <c r="F14" s="46">
        <f t="shared" si="1"/>
        <v>1</v>
      </c>
      <c r="G14" s="43">
        <v>2023</v>
      </c>
      <c r="H14" s="43" t="str">
        <f>VLOOKUP($B14,'World Bank'!$C:$F,3,FALSE)</f>
        <v>Yes</v>
      </c>
      <c r="I14" s="46">
        <f t="shared" si="2"/>
        <v>1</v>
      </c>
      <c r="J14" s="43">
        <v>2023</v>
      </c>
      <c r="K14" s="43" t="str">
        <f>VLOOKUP($B14,'World Bank'!$C:$F,4,FALSE)</f>
        <v>Yes</v>
      </c>
      <c r="L14" s="46">
        <f t="shared" si="3"/>
        <v>1</v>
      </c>
      <c r="M14" s="43">
        <v>2022</v>
      </c>
      <c r="N14" s="178" t="s">
        <v>131</v>
      </c>
      <c r="O14" s="46">
        <f t="shared" si="4"/>
        <v>1</v>
      </c>
      <c r="P14" s="48">
        <f t="shared" si="5"/>
        <v>2</v>
      </c>
      <c r="Q14" s="47" t="s">
        <v>137</v>
      </c>
      <c r="R14" s="47">
        <v>2014</v>
      </c>
      <c r="S14" s="331">
        <v>7.7</v>
      </c>
      <c r="T14" s="48">
        <f t="shared" si="6"/>
        <v>1.54</v>
      </c>
    </row>
    <row r="15" spans="1:21" x14ac:dyDescent="0.2">
      <c r="A15" s="18" t="s">
        <v>61</v>
      </c>
      <c r="B15" s="18" t="s">
        <v>62</v>
      </c>
      <c r="C15" s="49">
        <f t="shared" si="0"/>
        <v>6</v>
      </c>
      <c r="D15" s="43">
        <v>2023</v>
      </c>
      <c r="E15" s="43" t="str">
        <f>VLOOKUP($B15,'World Bank'!$C:$F,2,FALSE)</f>
        <v>Yes</v>
      </c>
      <c r="F15" s="46">
        <f t="shared" si="1"/>
        <v>1</v>
      </c>
      <c r="G15" s="43">
        <v>2023</v>
      </c>
      <c r="H15" s="43" t="str">
        <f>VLOOKUP($B15,'World Bank'!$C:$F,3,FALSE)</f>
        <v>Yes</v>
      </c>
      <c r="I15" s="46">
        <f t="shared" si="2"/>
        <v>1</v>
      </c>
      <c r="J15" s="43">
        <v>2023</v>
      </c>
      <c r="K15" s="43" t="str">
        <f>VLOOKUP($B15,'World Bank'!$C:$F,4,FALSE)</f>
        <v>Yes</v>
      </c>
      <c r="L15" s="46">
        <f t="shared" si="3"/>
        <v>1</v>
      </c>
      <c r="M15" s="43">
        <v>2022</v>
      </c>
      <c r="N15" s="178" t="s">
        <v>131</v>
      </c>
      <c r="O15" s="46">
        <f t="shared" si="4"/>
        <v>1</v>
      </c>
      <c r="P15" s="48">
        <f t="shared" si="5"/>
        <v>2</v>
      </c>
      <c r="Q15" s="47" t="s">
        <v>132</v>
      </c>
      <c r="R15" s="47">
        <v>2016</v>
      </c>
      <c r="S15" s="331">
        <v>63</v>
      </c>
      <c r="T15" s="48">
        <f t="shared" si="6"/>
        <v>10</v>
      </c>
    </row>
    <row r="16" spans="1:21" x14ac:dyDescent="0.2">
      <c r="A16" s="18" t="s">
        <v>102</v>
      </c>
      <c r="B16" s="18" t="s">
        <v>103</v>
      </c>
      <c r="C16" s="49">
        <f t="shared" si="0"/>
        <v>4.0999999999999996</v>
      </c>
      <c r="D16" s="43">
        <v>2023</v>
      </c>
      <c r="E16" s="43" t="str">
        <f>VLOOKUP($B16,'World Bank'!$C:$F,2,FALSE)</f>
        <v>Yes</v>
      </c>
      <c r="F16" s="46">
        <f t="shared" si="1"/>
        <v>1</v>
      </c>
      <c r="G16" s="43">
        <v>2023</v>
      </c>
      <c r="H16" s="43" t="str">
        <f>VLOOKUP($B16,'World Bank'!$C:$F,3,FALSE)</f>
        <v>No</v>
      </c>
      <c r="I16" s="46">
        <f t="shared" si="2"/>
        <v>0</v>
      </c>
      <c r="J16" s="43">
        <v>2023</v>
      </c>
      <c r="K16" s="43" t="str">
        <f>VLOOKUP($B16,'World Bank'!$C:$F,4,FALSE)</f>
        <v>No</v>
      </c>
      <c r="L16" s="46">
        <f t="shared" si="3"/>
        <v>0</v>
      </c>
      <c r="M16" s="43">
        <v>2022</v>
      </c>
      <c r="N16" s="178" t="s">
        <v>131</v>
      </c>
      <c r="O16" s="46">
        <f t="shared" si="4"/>
        <v>1</v>
      </c>
      <c r="P16" s="48">
        <f t="shared" si="5"/>
        <v>6</v>
      </c>
      <c r="Q16" s="47" t="s">
        <v>960</v>
      </c>
      <c r="R16" s="47">
        <f>VLOOKUP($B16,'World Bank'!$C:$H,6,FALSE)</f>
        <v>2015</v>
      </c>
      <c r="S16" s="331">
        <f>VLOOKUP($B16,'World Bank'!$C:$H,5,FALSE)</f>
        <v>11</v>
      </c>
      <c r="T16" s="48">
        <f t="shared" si="6"/>
        <v>2.2000000000000002</v>
      </c>
    </row>
    <row r="17" spans="1:20" x14ac:dyDescent="0.2">
      <c r="A17" s="18" t="s">
        <v>71</v>
      </c>
      <c r="B17" s="18" t="s">
        <v>72</v>
      </c>
      <c r="C17" s="49">
        <f t="shared" si="0"/>
        <v>6.66</v>
      </c>
      <c r="D17" s="43">
        <v>2023</v>
      </c>
      <c r="E17" s="43" t="str">
        <f>VLOOKUP($B17,'World Bank'!$C:$F,2,FALSE)</f>
        <v>No</v>
      </c>
      <c r="F17" s="46">
        <f t="shared" si="1"/>
        <v>0</v>
      </c>
      <c r="G17" s="43">
        <v>2023</v>
      </c>
      <c r="H17" s="43" t="str">
        <f>VLOOKUP($B17,'World Bank'!$C:$F,3,FALSE)</f>
        <v>No</v>
      </c>
      <c r="I17" s="46">
        <f t="shared" si="2"/>
        <v>0</v>
      </c>
      <c r="J17" s="43">
        <v>2023</v>
      </c>
      <c r="K17" s="43" t="str">
        <f>VLOOKUP($B17,'World Bank'!$C:$F,4,FALSE)</f>
        <v>No</v>
      </c>
      <c r="L17" s="46">
        <f t="shared" si="3"/>
        <v>0</v>
      </c>
      <c r="M17" s="43">
        <v>2022</v>
      </c>
      <c r="N17" s="178" t="s">
        <v>130</v>
      </c>
      <c r="O17" s="46">
        <f t="shared" si="4"/>
        <v>0</v>
      </c>
      <c r="P17" s="48">
        <f t="shared" si="5"/>
        <v>10</v>
      </c>
      <c r="Q17" s="47" t="s">
        <v>960</v>
      </c>
      <c r="R17" s="47">
        <f>VLOOKUP($B17,'World Bank'!$C:$H,6,FALSE)</f>
        <v>2017</v>
      </c>
      <c r="S17" s="331">
        <f>VLOOKUP($B17,'World Bank'!$C:$H,5,FALSE)</f>
        <v>16.600000000000001</v>
      </c>
      <c r="T17" s="48">
        <f t="shared" si="6"/>
        <v>3.3200000000000003</v>
      </c>
    </row>
    <row r="18" spans="1:20" x14ac:dyDescent="0.2">
      <c r="A18" s="18" t="s">
        <v>108</v>
      </c>
      <c r="B18" s="18" t="s">
        <v>109</v>
      </c>
      <c r="C18" s="49">
        <f t="shared" si="0"/>
        <v>2.2400000000000002</v>
      </c>
      <c r="D18" s="43">
        <v>2023</v>
      </c>
      <c r="E18" s="43" t="str">
        <f>VLOOKUP($B18,'World Bank'!$C:$F,2,FALSE)</f>
        <v>Yes</v>
      </c>
      <c r="F18" s="46">
        <f t="shared" si="1"/>
        <v>1</v>
      </c>
      <c r="G18" s="43">
        <v>2023</v>
      </c>
      <c r="H18" s="43" t="str">
        <f>VLOOKUP($B18,'World Bank'!$C:$F,3,FALSE)</f>
        <v>Yes</v>
      </c>
      <c r="I18" s="46">
        <f t="shared" si="2"/>
        <v>1</v>
      </c>
      <c r="J18" s="43">
        <v>2023</v>
      </c>
      <c r="K18" s="43" t="str">
        <f>VLOOKUP($B18,'World Bank'!$C:$F,4,FALSE)</f>
        <v>Yes</v>
      </c>
      <c r="L18" s="46">
        <f t="shared" si="3"/>
        <v>1</v>
      </c>
      <c r="M18" s="43">
        <v>2022</v>
      </c>
      <c r="N18" s="178" t="s">
        <v>138</v>
      </c>
      <c r="O18" s="46">
        <f t="shared" si="4"/>
        <v>1</v>
      </c>
      <c r="P18" s="48">
        <f t="shared" si="5"/>
        <v>2</v>
      </c>
      <c r="Q18" s="47" t="s">
        <v>960</v>
      </c>
      <c r="R18" s="47">
        <f>VLOOKUP($B18,'World Bank'!$C:$H,6,FALSE)</f>
        <v>2012</v>
      </c>
      <c r="S18" s="331">
        <f>VLOOKUP($B18,'World Bank'!$C:$H,5,FALSE)</f>
        <v>12.4</v>
      </c>
      <c r="T18" s="48">
        <f t="shared" si="6"/>
        <v>2.48</v>
      </c>
    </row>
    <row r="19" spans="1:20" x14ac:dyDescent="0.2">
      <c r="A19" s="18" t="s">
        <v>110</v>
      </c>
      <c r="B19" s="18" t="s">
        <v>111</v>
      </c>
      <c r="C19" s="49">
        <f t="shared" si="0"/>
        <v>6.65</v>
      </c>
      <c r="D19" s="43">
        <v>2023</v>
      </c>
      <c r="E19" s="43" t="str">
        <f>VLOOKUP($B19,'World Bank'!$C:$F,2,FALSE)</f>
        <v>No</v>
      </c>
      <c r="F19" s="46">
        <f t="shared" si="1"/>
        <v>0</v>
      </c>
      <c r="G19" s="43">
        <v>2023</v>
      </c>
      <c r="H19" s="43" t="str">
        <f>VLOOKUP($B19,'World Bank'!$C:$F,3,FALSE)</f>
        <v>Yes</v>
      </c>
      <c r="I19" s="46">
        <f t="shared" si="2"/>
        <v>1</v>
      </c>
      <c r="J19" s="43">
        <v>2023</v>
      </c>
      <c r="K19" s="43" t="str">
        <f>VLOOKUP($B19,'World Bank'!$C:$F,4,FALSE)</f>
        <v>Yes</v>
      </c>
      <c r="L19" s="46">
        <f t="shared" si="3"/>
        <v>1</v>
      </c>
      <c r="M19" s="43">
        <v>2022</v>
      </c>
      <c r="N19" s="178" t="s">
        <v>130</v>
      </c>
      <c r="O19" s="46">
        <f t="shared" si="4"/>
        <v>0</v>
      </c>
      <c r="P19" s="48">
        <f t="shared" si="5"/>
        <v>6</v>
      </c>
      <c r="Q19" s="47" t="s">
        <v>135</v>
      </c>
      <c r="R19" s="47" t="s">
        <v>136</v>
      </c>
      <c r="S19" s="331">
        <v>36.5</v>
      </c>
      <c r="T19" s="48">
        <f t="shared" si="6"/>
        <v>7.3</v>
      </c>
    </row>
    <row r="20" spans="1:20" x14ac:dyDescent="0.2">
      <c r="A20" s="18" t="s">
        <v>86</v>
      </c>
      <c r="B20" s="18" t="s">
        <v>87</v>
      </c>
      <c r="C20" s="49">
        <f t="shared" si="0"/>
        <v>5.18</v>
      </c>
      <c r="D20" s="43">
        <v>2023</v>
      </c>
      <c r="E20" s="43" t="str">
        <f>VLOOKUP($B20,'World Bank'!$C:$F,2,FALSE)</f>
        <v>Yes</v>
      </c>
      <c r="F20" s="46">
        <f t="shared" si="1"/>
        <v>1</v>
      </c>
      <c r="G20" s="43">
        <v>2023</v>
      </c>
      <c r="H20" s="43" t="str">
        <f>VLOOKUP($B20,'World Bank'!$C:$F,3,FALSE)</f>
        <v>Yes</v>
      </c>
      <c r="I20" s="46">
        <f t="shared" si="2"/>
        <v>1</v>
      </c>
      <c r="J20" s="43">
        <v>2023</v>
      </c>
      <c r="K20" s="43" t="str">
        <f>VLOOKUP($B20,'World Bank'!$C:$F,4,FALSE)</f>
        <v>Yes</v>
      </c>
      <c r="L20" s="46">
        <f t="shared" si="3"/>
        <v>1</v>
      </c>
      <c r="M20" s="43">
        <v>2022</v>
      </c>
      <c r="N20" s="178" t="s">
        <v>131</v>
      </c>
      <c r="O20" s="46">
        <f t="shared" ref="O20" si="7">IF(N20="Yes",1,0)</f>
        <v>1</v>
      </c>
      <c r="P20" s="48">
        <f t="shared" ref="P20" si="8">10-((F20+I20+L20+O20)*2)</f>
        <v>2</v>
      </c>
      <c r="Q20" s="47" t="s">
        <v>960</v>
      </c>
      <c r="R20" s="47">
        <f>VLOOKUP($B20,'World Bank'!$C:$H,6,FALSE)</f>
        <v>2014</v>
      </c>
      <c r="S20" s="331">
        <f>VLOOKUP($B20,'World Bank'!$C:$H,5,FALSE)</f>
        <v>41.8</v>
      </c>
      <c r="T20" s="48">
        <f t="shared" si="6"/>
        <v>8.36</v>
      </c>
    </row>
    <row r="21" spans="1:20" x14ac:dyDescent="0.2">
      <c r="A21" s="18" t="s">
        <v>112</v>
      </c>
      <c r="B21" s="18" t="s">
        <v>113</v>
      </c>
      <c r="C21" s="49">
        <f t="shared" si="0"/>
        <v>1.71</v>
      </c>
      <c r="D21" s="43">
        <v>2023</v>
      </c>
      <c r="E21" s="43" t="str">
        <f>VLOOKUP($B21,'World Bank'!$C:$F,2,FALSE)</f>
        <v>Yes</v>
      </c>
      <c r="F21" s="46">
        <f t="shared" si="1"/>
        <v>1</v>
      </c>
      <c r="G21" s="43">
        <v>2023</v>
      </c>
      <c r="H21" s="43" t="str">
        <f>VLOOKUP($B21,'World Bank'!$C:$F,3,FALSE)</f>
        <v>Yes</v>
      </c>
      <c r="I21" s="46">
        <f t="shared" si="2"/>
        <v>1</v>
      </c>
      <c r="J21" s="43">
        <v>2023</v>
      </c>
      <c r="K21" s="43" t="str">
        <f>VLOOKUP($B21,'World Bank'!$C:$F,4,FALSE)</f>
        <v>Yes</v>
      </c>
      <c r="L21" s="46">
        <f t="shared" si="3"/>
        <v>1</v>
      </c>
      <c r="M21" s="43">
        <v>2022</v>
      </c>
      <c r="N21" s="178" t="s">
        <v>131</v>
      </c>
      <c r="O21" s="46">
        <f t="shared" si="4"/>
        <v>1</v>
      </c>
      <c r="P21" s="48">
        <f t="shared" si="5"/>
        <v>2</v>
      </c>
      <c r="Q21" s="47" t="s">
        <v>135</v>
      </c>
      <c r="R21" s="47" t="s">
        <v>139</v>
      </c>
      <c r="S21" s="331">
        <v>7.1</v>
      </c>
      <c r="T21" s="48">
        <f t="shared" si="6"/>
        <v>1.42</v>
      </c>
    </row>
    <row r="22" spans="1:20" x14ac:dyDescent="0.2">
      <c r="A22" s="18" t="s">
        <v>84</v>
      </c>
      <c r="B22" s="18" t="s">
        <v>85</v>
      </c>
      <c r="C22" s="49">
        <f t="shared" si="0"/>
        <v>8.6</v>
      </c>
      <c r="D22" s="43">
        <v>2023</v>
      </c>
      <c r="E22" s="43" t="str">
        <f>VLOOKUP($B22,'World Bank'!$C:$F,2,FALSE)</f>
        <v>No</v>
      </c>
      <c r="F22" s="46">
        <f t="shared" si="1"/>
        <v>0</v>
      </c>
      <c r="G22" s="43">
        <v>2023</v>
      </c>
      <c r="H22" s="43" t="str">
        <f>VLOOKUP($B22,'World Bank'!$C:$F,3,FALSE)</f>
        <v>No</v>
      </c>
      <c r="I22" s="46">
        <f t="shared" si="2"/>
        <v>0</v>
      </c>
      <c r="J22" s="43">
        <v>2023</v>
      </c>
      <c r="K22" s="43" t="str">
        <f>VLOOKUP($B22,'World Bank'!$C:$F,4,FALSE)</f>
        <v>No</v>
      </c>
      <c r="L22" s="46">
        <f t="shared" si="3"/>
        <v>0</v>
      </c>
      <c r="M22" s="43">
        <v>2022</v>
      </c>
      <c r="N22" s="178" t="s">
        <v>130</v>
      </c>
      <c r="O22" s="46">
        <f t="shared" si="4"/>
        <v>0</v>
      </c>
      <c r="P22" s="48">
        <f t="shared" si="5"/>
        <v>10</v>
      </c>
      <c r="Q22" s="269" t="s">
        <v>140</v>
      </c>
      <c r="R22" s="269"/>
      <c r="S22" s="332" t="s">
        <v>141</v>
      </c>
      <c r="T22" s="268">
        <v>7.2</v>
      </c>
    </row>
    <row r="23" spans="1:20" x14ac:dyDescent="0.2">
      <c r="A23" s="18" t="s">
        <v>81</v>
      </c>
      <c r="B23" s="18" t="s">
        <v>83</v>
      </c>
      <c r="C23" s="49">
        <f t="shared" si="0"/>
        <v>5.0600000000000005</v>
      </c>
      <c r="D23" s="43">
        <v>2023</v>
      </c>
      <c r="E23" s="43" t="str">
        <f>VLOOKUP($B23,'World Bank'!$C:$F,2,FALSE)</f>
        <v>Yes</v>
      </c>
      <c r="F23" s="46">
        <f t="shared" si="1"/>
        <v>1</v>
      </c>
      <c r="G23" s="43">
        <v>2023</v>
      </c>
      <c r="H23" s="43" t="str">
        <f>VLOOKUP($B23,'World Bank'!$C:$F,3,FALSE)</f>
        <v>Yes</v>
      </c>
      <c r="I23" s="46">
        <f t="shared" si="2"/>
        <v>1</v>
      </c>
      <c r="J23" s="43">
        <v>2023</v>
      </c>
      <c r="K23" s="43" t="str">
        <f>VLOOKUP($B23,'World Bank'!$C:$F,4,FALSE)</f>
        <v>Yes</v>
      </c>
      <c r="L23" s="46">
        <f t="shared" si="3"/>
        <v>1</v>
      </c>
      <c r="M23" s="43">
        <v>2022</v>
      </c>
      <c r="N23" s="178" t="s">
        <v>131</v>
      </c>
      <c r="O23" s="46">
        <f t="shared" si="4"/>
        <v>1</v>
      </c>
      <c r="P23" s="48">
        <f t="shared" si="5"/>
        <v>2</v>
      </c>
      <c r="Q23" s="47" t="s">
        <v>960</v>
      </c>
      <c r="R23" s="47">
        <f>VLOOKUP($B23,'World Bank'!$C:$H,6,FALSE)</f>
        <v>2021</v>
      </c>
      <c r="S23" s="331">
        <f>VLOOKUP($B23,'World Bank'!$C:$H,5,FALSE)</f>
        <v>40.6</v>
      </c>
      <c r="T23" s="48">
        <f t="shared" si="6"/>
        <v>8.120000000000001</v>
      </c>
    </row>
    <row r="24" spans="1:20" x14ac:dyDescent="0.2">
      <c r="A24" s="18" t="s">
        <v>106</v>
      </c>
      <c r="B24" s="18" t="s">
        <v>107</v>
      </c>
      <c r="C24" s="49">
        <f t="shared" si="0"/>
        <v>2.63</v>
      </c>
      <c r="D24" s="43">
        <v>2023</v>
      </c>
      <c r="E24" s="43" t="str">
        <f>VLOOKUP($B24,'World Bank'!$C:$F,2,FALSE)</f>
        <v>Yes</v>
      </c>
      <c r="F24" s="46">
        <f t="shared" si="1"/>
        <v>1</v>
      </c>
      <c r="G24" s="43">
        <v>2023</v>
      </c>
      <c r="H24" s="43" t="str">
        <f>VLOOKUP($B24,'World Bank'!$C:$F,3,FALSE)</f>
        <v>Yes</v>
      </c>
      <c r="I24" s="46">
        <f t="shared" si="2"/>
        <v>1</v>
      </c>
      <c r="J24" s="43">
        <v>2023</v>
      </c>
      <c r="K24" s="43" t="str">
        <f>VLOOKUP($B24,'World Bank'!$C:$F,4,FALSE)</f>
        <v>Yes</v>
      </c>
      <c r="L24" s="46">
        <f t="shared" si="3"/>
        <v>1</v>
      </c>
      <c r="M24" s="43">
        <v>2022</v>
      </c>
      <c r="N24" s="178" t="s">
        <v>131</v>
      </c>
      <c r="O24" s="46">
        <f t="shared" si="4"/>
        <v>1</v>
      </c>
      <c r="P24" s="48">
        <f t="shared" si="5"/>
        <v>2</v>
      </c>
      <c r="Q24" s="47" t="s">
        <v>960</v>
      </c>
      <c r="R24" s="47">
        <f>VLOOKUP($B24,'World Bank'!$C:$H,6,FALSE)</f>
        <v>2016</v>
      </c>
      <c r="S24" s="331">
        <f>VLOOKUP($B24,'World Bank'!$C:$H,5,FALSE)</f>
        <v>16.3</v>
      </c>
      <c r="T24" s="48">
        <f t="shared" si="6"/>
        <v>3.2600000000000002</v>
      </c>
    </row>
    <row r="25" spans="1:20" x14ac:dyDescent="0.2">
      <c r="A25" s="18" t="s">
        <v>65</v>
      </c>
      <c r="B25" s="18" t="s">
        <v>66</v>
      </c>
      <c r="C25" s="49">
        <f t="shared" si="0"/>
        <v>9.9</v>
      </c>
      <c r="D25" s="43">
        <v>2023</v>
      </c>
      <c r="E25" s="43" t="str">
        <f>VLOOKUP($B25,'World Bank'!$C:$F,2,FALSE)</f>
        <v>No</v>
      </c>
      <c r="F25" s="46">
        <f t="shared" si="1"/>
        <v>0</v>
      </c>
      <c r="G25" s="43">
        <v>2023</v>
      </c>
      <c r="H25" s="43" t="str">
        <f>VLOOKUP($B25,'World Bank'!$C:$F,3,FALSE)</f>
        <v>No</v>
      </c>
      <c r="I25" s="46">
        <f t="shared" si="2"/>
        <v>0</v>
      </c>
      <c r="J25" s="43">
        <v>2023</v>
      </c>
      <c r="K25" s="43" t="str">
        <f>VLOOKUP($B25,'World Bank'!$C:$F,4,FALSE)</f>
        <v>No</v>
      </c>
      <c r="L25" s="46">
        <f t="shared" si="3"/>
        <v>0</v>
      </c>
      <c r="M25" s="43">
        <v>2022</v>
      </c>
      <c r="N25" s="178" t="s">
        <v>130</v>
      </c>
      <c r="O25" s="46">
        <f t="shared" si="4"/>
        <v>0</v>
      </c>
      <c r="P25" s="48">
        <f t="shared" si="5"/>
        <v>10</v>
      </c>
      <c r="Q25" s="47" t="s">
        <v>960</v>
      </c>
      <c r="R25" s="47">
        <f>VLOOKUP($B25,'World Bank'!$C:$H,6,FALSE)</f>
        <v>2018</v>
      </c>
      <c r="S25" s="331">
        <f>VLOOKUP($B25,'World Bank'!$C:$H,5,FALSE)</f>
        <v>79.400000000000006</v>
      </c>
      <c r="T25" s="48">
        <f t="shared" si="6"/>
        <v>10</v>
      </c>
    </row>
    <row r="26" spans="1:20" x14ac:dyDescent="0.2">
      <c r="A26" s="18" t="s">
        <v>100</v>
      </c>
      <c r="B26" s="18" t="s">
        <v>101</v>
      </c>
      <c r="C26" s="49">
        <f t="shared" si="0"/>
        <v>2.33</v>
      </c>
      <c r="D26" s="43">
        <v>2023</v>
      </c>
      <c r="E26" s="43" t="str">
        <f>VLOOKUP($B26,'World Bank'!$C:$F,2,FALSE)</f>
        <v>Yes</v>
      </c>
      <c r="F26" s="46">
        <f t="shared" si="1"/>
        <v>1</v>
      </c>
      <c r="G26" s="43">
        <v>2023</v>
      </c>
      <c r="H26" s="43" t="str">
        <f>VLOOKUP($B26,'World Bank'!$C:$F,3,FALSE)</f>
        <v>Yes</v>
      </c>
      <c r="I26" s="46">
        <f t="shared" si="2"/>
        <v>1</v>
      </c>
      <c r="J26" s="43">
        <v>2023</v>
      </c>
      <c r="K26" s="43" t="str">
        <f>VLOOKUP($B26,'World Bank'!$C:$F,4,FALSE)</f>
        <v>Yes</v>
      </c>
      <c r="L26" s="46">
        <f t="shared" si="3"/>
        <v>1</v>
      </c>
      <c r="M26" s="43">
        <v>2022</v>
      </c>
      <c r="N26" s="178" t="s">
        <v>131</v>
      </c>
      <c r="O26" s="46">
        <f t="shared" si="4"/>
        <v>1</v>
      </c>
      <c r="P26" s="48">
        <f t="shared" si="5"/>
        <v>2</v>
      </c>
      <c r="Q26" s="47" t="s">
        <v>960</v>
      </c>
      <c r="R26" s="47">
        <f>VLOOKUP($B26,'World Bank'!$C:$H,6,FALSE)</f>
        <v>2015</v>
      </c>
      <c r="S26" s="331">
        <f>VLOOKUP($B26,'World Bank'!$C:$H,5,FALSE)</f>
        <v>13.3</v>
      </c>
      <c r="T26" s="48">
        <f t="shared" si="6"/>
        <v>2.66</v>
      </c>
    </row>
    <row r="27" spans="1:20" x14ac:dyDescent="0.2">
      <c r="A27" s="18" t="s">
        <v>69</v>
      </c>
      <c r="B27" s="18" t="s">
        <v>70</v>
      </c>
      <c r="C27" s="49">
        <f t="shared" si="0"/>
        <v>9.9</v>
      </c>
      <c r="D27" s="43">
        <v>2023</v>
      </c>
      <c r="E27" s="43" t="str">
        <f>VLOOKUP($B27,'World Bank'!$C:$F,2,FALSE)</f>
        <v>No</v>
      </c>
      <c r="F27" s="46">
        <f t="shared" si="1"/>
        <v>0</v>
      </c>
      <c r="G27" s="43">
        <v>2023</v>
      </c>
      <c r="H27" s="43" t="str">
        <f>VLOOKUP($B27,'World Bank'!$C:$F,3,FALSE)</f>
        <v>No</v>
      </c>
      <c r="I27" s="46">
        <f t="shared" si="2"/>
        <v>0</v>
      </c>
      <c r="J27" s="43">
        <v>2023</v>
      </c>
      <c r="K27" s="43" t="str">
        <f>VLOOKUP($B27,'World Bank'!$C:$F,4,FALSE)</f>
        <v>No</v>
      </c>
      <c r="L27" s="46">
        <f t="shared" si="3"/>
        <v>0</v>
      </c>
      <c r="M27" s="43">
        <v>2022</v>
      </c>
      <c r="N27" s="178" t="s">
        <v>130</v>
      </c>
      <c r="O27" s="46">
        <f t="shared" si="4"/>
        <v>0</v>
      </c>
      <c r="P27" s="48">
        <f t="shared" si="5"/>
        <v>10</v>
      </c>
      <c r="Q27" s="47" t="s">
        <v>960</v>
      </c>
      <c r="R27" s="47">
        <f>VLOOKUP($B27,'World Bank'!$C:$H,6,FALSE)</f>
        <v>2016</v>
      </c>
      <c r="S27" s="331">
        <f>VLOOKUP($B27,'World Bank'!$C:$H,5,FALSE)</f>
        <v>51.2</v>
      </c>
      <c r="T27" s="48">
        <f t="shared" si="6"/>
        <v>10</v>
      </c>
    </row>
    <row r="28" spans="1:20" x14ac:dyDescent="0.2">
      <c r="A28" s="18" t="s">
        <v>90</v>
      </c>
      <c r="B28" s="18" t="s">
        <v>91</v>
      </c>
      <c r="C28" s="49">
        <f t="shared" si="0"/>
        <v>8</v>
      </c>
      <c r="D28" s="43">
        <v>2023</v>
      </c>
      <c r="E28" s="43" t="str">
        <f>VLOOKUP($B28,'World Bank'!$C:$F,2,FALSE)</f>
        <v>No</v>
      </c>
      <c r="F28" s="46">
        <f t="shared" si="1"/>
        <v>0</v>
      </c>
      <c r="G28" s="43">
        <v>2023</v>
      </c>
      <c r="H28" s="43" t="str">
        <f>VLOOKUP($B28,'World Bank'!$C:$F,3,FALSE)</f>
        <v>Yes</v>
      </c>
      <c r="I28" s="46">
        <f t="shared" si="2"/>
        <v>1</v>
      </c>
      <c r="J28" s="43">
        <v>2023</v>
      </c>
      <c r="K28" s="43" t="str">
        <f>VLOOKUP($B28,'World Bank'!$C:$F,4,FALSE)</f>
        <v>Yes</v>
      </c>
      <c r="L28" s="46">
        <f t="shared" si="3"/>
        <v>1</v>
      </c>
      <c r="M28" s="43">
        <v>2022</v>
      </c>
      <c r="N28" s="178" t="s">
        <v>130</v>
      </c>
      <c r="O28" s="46">
        <f t="shared" si="4"/>
        <v>0</v>
      </c>
      <c r="P28" s="48">
        <f t="shared" si="5"/>
        <v>6</v>
      </c>
      <c r="Q28" s="47" t="s">
        <v>960</v>
      </c>
      <c r="R28" s="47">
        <f>VLOOKUP($B28,'World Bank'!$C:$H,6,FALSE)</f>
        <v>2012</v>
      </c>
      <c r="S28" s="331">
        <f>VLOOKUP($B28,'World Bank'!$C:$H,5,FALSE)</f>
        <v>59.6</v>
      </c>
      <c r="T28" s="48">
        <f t="shared" si="6"/>
        <v>10</v>
      </c>
    </row>
    <row r="29" spans="1:20" x14ac:dyDescent="0.2">
      <c r="A29" s="18" t="s">
        <v>79</v>
      </c>
      <c r="B29" s="18" t="s">
        <v>80</v>
      </c>
      <c r="C29" s="49">
        <f t="shared" si="0"/>
        <v>3.8000000000000003</v>
      </c>
      <c r="D29" s="43">
        <v>2023</v>
      </c>
      <c r="E29" s="43" t="str">
        <f>VLOOKUP($B29,'World Bank'!$C:$F,2,FALSE)</f>
        <v>Yes</v>
      </c>
      <c r="F29" s="46">
        <f t="shared" si="1"/>
        <v>1</v>
      </c>
      <c r="G29" s="43">
        <v>2023</v>
      </c>
      <c r="H29" s="43" t="str">
        <f>VLOOKUP($B29,'World Bank'!$C:$F,3,FALSE)</f>
        <v>Yes</v>
      </c>
      <c r="I29" s="46">
        <f t="shared" si="2"/>
        <v>1</v>
      </c>
      <c r="J29" s="43">
        <v>2023</v>
      </c>
      <c r="K29" s="43" t="str">
        <f>VLOOKUP($B29,'World Bank'!$C:$F,4,FALSE)</f>
        <v>Yes</v>
      </c>
      <c r="L29" s="46">
        <f t="shared" si="3"/>
        <v>1</v>
      </c>
      <c r="M29" s="43">
        <v>2022</v>
      </c>
      <c r="N29" s="178" t="s">
        <v>131</v>
      </c>
      <c r="O29" s="46">
        <f t="shared" si="4"/>
        <v>1</v>
      </c>
      <c r="P29" s="48">
        <f t="shared" si="5"/>
        <v>2</v>
      </c>
      <c r="Q29" s="47" t="s">
        <v>960</v>
      </c>
      <c r="R29" s="47">
        <f>VLOOKUP($B29,'World Bank'!$C:$H,6,FALSE)</f>
        <v>2018</v>
      </c>
      <c r="S29" s="331">
        <f>VLOOKUP($B29,'World Bank'!$C:$H,5,FALSE)</f>
        <v>28</v>
      </c>
      <c r="T29" s="48">
        <f t="shared" si="6"/>
        <v>5.6000000000000005</v>
      </c>
    </row>
    <row r="30" spans="1:20" x14ac:dyDescent="0.2">
      <c r="A30" s="18" t="s">
        <v>73</v>
      </c>
      <c r="B30" s="18" t="s">
        <v>74</v>
      </c>
      <c r="C30" s="49">
        <f t="shared" si="0"/>
        <v>5.1100000000000003</v>
      </c>
      <c r="D30" s="43">
        <v>2023</v>
      </c>
      <c r="E30" s="43" t="str">
        <f>VLOOKUP($B30,'World Bank'!$C:$F,2,FALSE)</f>
        <v>Yes</v>
      </c>
      <c r="F30" s="46">
        <f t="shared" si="1"/>
        <v>1</v>
      </c>
      <c r="G30" s="43">
        <v>2023</v>
      </c>
      <c r="H30" s="43" t="str">
        <f>VLOOKUP($B30,'World Bank'!$C:$F,3,FALSE)</f>
        <v>Yes</v>
      </c>
      <c r="I30" s="46">
        <f t="shared" si="2"/>
        <v>1</v>
      </c>
      <c r="J30" s="43">
        <v>2023</v>
      </c>
      <c r="K30" s="43" t="str">
        <f>VLOOKUP($B30,'World Bank'!$C:$F,4,FALSE)</f>
        <v>Yes</v>
      </c>
      <c r="L30" s="46">
        <f t="shared" si="3"/>
        <v>1</v>
      </c>
      <c r="M30" s="43">
        <v>2022</v>
      </c>
      <c r="N30" s="178" t="s">
        <v>131</v>
      </c>
      <c r="O30" s="46">
        <f t="shared" ref="O30" si="9">IF(N30="Yes",1,0)</f>
        <v>1</v>
      </c>
      <c r="P30" s="48">
        <f t="shared" ref="P30" si="10">10-((F30+I30+L30+O30)*2)</f>
        <v>2</v>
      </c>
      <c r="Q30" s="47" t="s">
        <v>960</v>
      </c>
      <c r="R30" s="47">
        <f>VLOOKUP($B30,'World Bank'!$C:$H,6,FALSE)</f>
        <v>2018</v>
      </c>
      <c r="S30" s="331">
        <f>VLOOKUP($B30,'World Bank'!$C:$H,5,FALSE)</f>
        <v>41.1</v>
      </c>
      <c r="T30" s="48">
        <f t="shared" si="6"/>
        <v>8.2200000000000006</v>
      </c>
    </row>
    <row r="31" spans="1:20" x14ac:dyDescent="0.2">
      <c r="A31" s="18" t="s">
        <v>77</v>
      </c>
      <c r="B31" s="18" t="s">
        <v>78</v>
      </c>
      <c r="C31" s="49">
        <f t="shared" si="0"/>
        <v>6.57</v>
      </c>
      <c r="D31" s="43">
        <v>2023</v>
      </c>
      <c r="E31" s="43" t="str">
        <f>VLOOKUP($B31,'World Bank'!$C:$F,2,FALSE)</f>
        <v>No</v>
      </c>
      <c r="F31" s="46">
        <f t="shared" si="1"/>
        <v>0</v>
      </c>
      <c r="G31" s="43">
        <v>2023</v>
      </c>
      <c r="H31" s="43" t="str">
        <f>VLOOKUP($B31,'World Bank'!$C:$F,3,FALSE)</f>
        <v>No</v>
      </c>
      <c r="I31" s="46">
        <f t="shared" si="2"/>
        <v>0</v>
      </c>
      <c r="J31" s="43">
        <v>2023</v>
      </c>
      <c r="K31" s="43" t="str">
        <f>VLOOKUP($B31,'World Bank'!$C:$F,4,FALSE)</f>
        <v>No</v>
      </c>
      <c r="L31" s="46">
        <f t="shared" si="3"/>
        <v>0</v>
      </c>
      <c r="M31" s="43">
        <v>2022</v>
      </c>
      <c r="N31" s="178" t="s">
        <v>130</v>
      </c>
      <c r="O31" s="46">
        <f t="shared" si="4"/>
        <v>0</v>
      </c>
      <c r="P31" s="48">
        <f t="shared" si="5"/>
        <v>10</v>
      </c>
      <c r="Q31" s="47" t="s">
        <v>135</v>
      </c>
      <c r="R31" s="47" t="s">
        <v>142</v>
      </c>
      <c r="S31" s="331">
        <v>15.7</v>
      </c>
      <c r="T31" s="48">
        <f t="shared" si="6"/>
        <v>3.14</v>
      </c>
    </row>
    <row r="32" spans="1:20" x14ac:dyDescent="0.2">
      <c r="A32" s="18" t="s">
        <v>57</v>
      </c>
      <c r="B32" s="18" t="s">
        <v>58</v>
      </c>
      <c r="C32" s="49">
        <f t="shared" si="0"/>
        <v>8.629999999999999</v>
      </c>
      <c r="D32" s="43">
        <v>2023</v>
      </c>
      <c r="E32" s="43" t="str">
        <f>VLOOKUP($B32,'World Bank'!$C:$F,2,FALSE)</f>
        <v>No</v>
      </c>
      <c r="F32" s="46">
        <f t="shared" si="1"/>
        <v>0</v>
      </c>
      <c r="G32" s="43">
        <v>2023</v>
      </c>
      <c r="H32" s="43" t="str">
        <f>VLOOKUP($B32,'World Bank'!$C:$F,3,FALSE)</f>
        <v>No</v>
      </c>
      <c r="I32" s="46">
        <f t="shared" si="2"/>
        <v>0</v>
      </c>
      <c r="J32" s="43">
        <v>2023</v>
      </c>
      <c r="K32" s="43" t="str">
        <f>VLOOKUP($B32,'World Bank'!$C:$F,4,FALSE)</f>
        <v>No</v>
      </c>
      <c r="L32" s="46">
        <f t="shared" si="3"/>
        <v>0</v>
      </c>
      <c r="M32" s="43">
        <v>2022</v>
      </c>
      <c r="N32" s="178" t="s">
        <v>130</v>
      </c>
      <c r="O32" s="46">
        <f t="shared" si="4"/>
        <v>0</v>
      </c>
      <c r="P32" s="48">
        <f t="shared" si="5"/>
        <v>10</v>
      </c>
      <c r="Q32" s="47" t="s">
        <v>143</v>
      </c>
      <c r="R32" s="47">
        <v>2020</v>
      </c>
      <c r="S32" s="331">
        <v>36.299999999999997</v>
      </c>
      <c r="T32" s="48">
        <f t="shared" si="6"/>
        <v>7.26</v>
      </c>
    </row>
    <row r="33" spans="1:20" x14ac:dyDescent="0.2">
      <c r="A33" s="18" t="s">
        <v>59</v>
      </c>
      <c r="B33" s="18" t="s">
        <v>60</v>
      </c>
      <c r="C33" s="49">
        <f t="shared" si="0"/>
        <v>8</v>
      </c>
      <c r="D33" s="43">
        <v>2023</v>
      </c>
      <c r="E33" s="43" t="str">
        <f>VLOOKUP($B33,'World Bank'!$C:$F,2,FALSE)</f>
        <v>No</v>
      </c>
      <c r="F33" s="46">
        <f t="shared" si="1"/>
        <v>0</v>
      </c>
      <c r="G33" s="43">
        <v>2023</v>
      </c>
      <c r="H33" s="43" t="str">
        <f>VLOOKUP($B33,'World Bank'!$C:$F,3,FALSE)</f>
        <v>Yes</v>
      </c>
      <c r="I33" s="46">
        <f t="shared" si="2"/>
        <v>1</v>
      </c>
      <c r="J33" s="43">
        <v>2023</v>
      </c>
      <c r="K33" s="43" t="str">
        <f>VLOOKUP($B33,'World Bank'!$C:$F,4,FALSE)</f>
        <v>Yes</v>
      </c>
      <c r="L33" s="46">
        <f t="shared" si="3"/>
        <v>1</v>
      </c>
      <c r="M33" s="43">
        <v>2022</v>
      </c>
      <c r="N33" s="178" t="s">
        <v>130</v>
      </c>
      <c r="O33" s="46">
        <f t="shared" si="4"/>
        <v>0</v>
      </c>
      <c r="P33" s="48">
        <f t="shared" si="5"/>
        <v>6</v>
      </c>
      <c r="Q33" s="47" t="s">
        <v>144</v>
      </c>
      <c r="R33" s="47">
        <v>2010</v>
      </c>
      <c r="S33" s="331">
        <v>78.5</v>
      </c>
      <c r="T33" s="48">
        <f t="shared" si="6"/>
        <v>10</v>
      </c>
    </row>
    <row r="34" spans="1:20" x14ac:dyDescent="0.2">
      <c r="A34" s="18" t="s">
        <v>53</v>
      </c>
      <c r="B34" s="18" t="s">
        <v>54</v>
      </c>
      <c r="C34" s="49">
        <f t="shared" si="0"/>
        <v>8.4</v>
      </c>
      <c r="D34" s="43">
        <v>2023</v>
      </c>
      <c r="E34" s="43" t="str">
        <f>VLOOKUP($B34,'World Bank'!$C:$F,2,FALSE)</f>
        <v>No</v>
      </c>
      <c r="F34" s="46">
        <f t="shared" si="1"/>
        <v>0</v>
      </c>
      <c r="G34" s="43">
        <v>2023</v>
      </c>
      <c r="H34" s="43" t="str">
        <f>VLOOKUP($B34,'World Bank'!$C:$F,3,FALSE)</f>
        <v>No</v>
      </c>
      <c r="I34" s="46">
        <f t="shared" si="2"/>
        <v>0</v>
      </c>
      <c r="J34" s="43">
        <v>2023</v>
      </c>
      <c r="K34" s="43" t="str">
        <f>VLOOKUP($B34,'World Bank'!$C:$F,4,FALSE)</f>
        <v>No</v>
      </c>
      <c r="L34" s="46">
        <f t="shared" si="3"/>
        <v>0</v>
      </c>
      <c r="M34" s="43">
        <v>2022</v>
      </c>
      <c r="N34" s="178" t="s">
        <v>130</v>
      </c>
      <c r="O34" s="46">
        <f t="shared" si="4"/>
        <v>0</v>
      </c>
      <c r="P34" s="48">
        <f t="shared" si="5"/>
        <v>10</v>
      </c>
      <c r="Q34" s="47" t="s">
        <v>135</v>
      </c>
      <c r="R34" s="47">
        <v>2014</v>
      </c>
      <c r="S34" s="331">
        <v>34</v>
      </c>
      <c r="T34" s="48">
        <f t="shared" si="6"/>
        <v>6.8000000000000007</v>
      </c>
    </row>
    <row r="35" spans="1:20" x14ac:dyDescent="0.2">
      <c r="A35" s="18" t="s">
        <v>55</v>
      </c>
      <c r="B35" s="18" t="s">
        <v>56</v>
      </c>
      <c r="C35" s="49">
        <f t="shared" si="0"/>
        <v>8.6</v>
      </c>
      <c r="D35" s="43">
        <v>2023</v>
      </c>
      <c r="E35" s="43" t="str">
        <f>VLOOKUP($B35,'World Bank'!$C:$F,2,FALSE)</f>
        <v>No</v>
      </c>
      <c r="F35" s="46">
        <f t="shared" si="1"/>
        <v>0</v>
      </c>
      <c r="G35" s="43">
        <v>2023</v>
      </c>
      <c r="H35" s="43" t="str">
        <f>VLOOKUP($B35,'World Bank'!$C:$F,3,FALSE)</f>
        <v>No</v>
      </c>
      <c r="I35" s="46">
        <f t="shared" si="2"/>
        <v>0</v>
      </c>
      <c r="J35" s="43">
        <v>2023</v>
      </c>
      <c r="K35" s="43" t="str">
        <f>VLOOKUP($B35,'World Bank'!$C:$F,4,FALSE)</f>
        <v>No</v>
      </c>
      <c r="L35" s="46">
        <f t="shared" si="3"/>
        <v>0</v>
      </c>
      <c r="M35" s="43">
        <v>2022</v>
      </c>
      <c r="N35" s="178" t="s">
        <v>130</v>
      </c>
      <c r="O35" s="46">
        <f t="shared" si="4"/>
        <v>0</v>
      </c>
      <c r="P35" s="48">
        <f t="shared" si="5"/>
        <v>10</v>
      </c>
      <c r="Q35" s="269" t="s">
        <v>140</v>
      </c>
      <c r="R35" s="269"/>
      <c r="S35" s="332" t="s">
        <v>141</v>
      </c>
      <c r="T35" s="268">
        <v>7.2</v>
      </c>
    </row>
    <row r="36" spans="1:20" x14ac:dyDescent="0.2">
      <c r="A36" s="18" t="s">
        <v>94</v>
      </c>
      <c r="B36" s="18" t="s">
        <v>95</v>
      </c>
      <c r="C36" s="49">
        <f t="shared" si="0"/>
        <v>1.29</v>
      </c>
      <c r="D36" s="43">
        <v>2023</v>
      </c>
      <c r="E36" s="43" t="str">
        <f>VLOOKUP($B36,'World Bank'!$C:$F,2,FALSE)</f>
        <v>Yes</v>
      </c>
      <c r="F36" s="46">
        <f t="shared" si="1"/>
        <v>1</v>
      </c>
      <c r="G36" s="43">
        <v>2023</v>
      </c>
      <c r="H36" s="43" t="str">
        <f>VLOOKUP($B36,'World Bank'!$C:$F,3,FALSE)</f>
        <v>Yes</v>
      </c>
      <c r="I36" s="46">
        <f t="shared" si="2"/>
        <v>1</v>
      </c>
      <c r="J36" s="43">
        <v>2023</v>
      </c>
      <c r="K36" s="43" t="str">
        <f>VLOOKUP($B36,'World Bank'!$C:$F,4,FALSE)</f>
        <v>Yes</v>
      </c>
      <c r="L36" s="46">
        <f t="shared" si="3"/>
        <v>1</v>
      </c>
      <c r="M36" s="43">
        <v>2022</v>
      </c>
      <c r="N36" s="178" t="s">
        <v>131</v>
      </c>
      <c r="O36" s="46">
        <f t="shared" si="4"/>
        <v>1</v>
      </c>
      <c r="P36" s="48">
        <f t="shared" si="5"/>
        <v>2</v>
      </c>
      <c r="Q36" s="47" t="s">
        <v>135</v>
      </c>
      <c r="R36" s="47">
        <v>2012</v>
      </c>
      <c r="S36" s="331">
        <v>2.9</v>
      </c>
      <c r="T36" s="48">
        <f t="shared" si="6"/>
        <v>0.57999999999999996</v>
      </c>
    </row>
    <row r="37" spans="1:20" x14ac:dyDescent="0.2">
      <c r="A37" s="18" t="s">
        <v>96</v>
      </c>
      <c r="B37" s="18" t="s">
        <v>97</v>
      </c>
      <c r="C37" s="49">
        <f t="shared" si="0"/>
        <v>3.85</v>
      </c>
      <c r="D37" s="43">
        <v>2023</v>
      </c>
      <c r="E37" s="43" t="str">
        <f>VLOOKUP($B37,'World Bank'!$C:$F,2,FALSE)</f>
        <v>Yes</v>
      </c>
      <c r="F37" s="46">
        <f t="shared" si="1"/>
        <v>1</v>
      </c>
      <c r="G37" s="43">
        <v>2023</v>
      </c>
      <c r="H37" s="43" t="str">
        <f>VLOOKUP($B37,'World Bank'!$C:$F,3,FALSE)</f>
        <v>Yes</v>
      </c>
      <c r="I37" s="46">
        <f t="shared" si="2"/>
        <v>1</v>
      </c>
      <c r="J37" s="43">
        <v>2023</v>
      </c>
      <c r="K37" s="43" t="str">
        <f>VLOOKUP($B37,'World Bank'!$C:$F,4,FALSE)</f>
        <v>Yes</v>
      </c>
      <c r="L37" s="46">
        <f t="shared" si="3"/>
        <v>1</v>
      </c>
      <c r="M37" s="43">
        <v>2022</v>
      </c>
      <c r="N37" s="178" t="s">
        <v>131</v>
      </c>
      <c r="O37" s="46">
        <f t="shared" si="4"/>
        <v>1</v>
      </c>
      <c r="P37" s="48">
        <f t="shared" si="5"/>
        <v>2</v>
      </c>
      <c r="Q37" s="269" t="s">
        <v>140</v>
      </c>
      <c r="R37" s="269"/>
      <c r="S37" s="332" t="s">
        <v>141</v>
      </c>
      <c r="T37" s="268">
        <v>5.7</v>
      </c>
    </row>
    <row r="38" spans="1:20" x14ac:dyDescent="0.2">
      <c r="A38" s="18" t="s">
        <v>51</v>
      </c>
      <c r="B38" s="18" t="s">
        <v>52</v>
      </c>
      <c r="C38" s="49">
        <f t="shared" si="0"/>
        <v>9.870000000000001</v>
      </c>
      <c r="D38" s="43">
        <v>2023</v>
      </c>
      <c r="E38" s="43" t="str">
        <f>VLOOKUP($B38,'World Bank'!$C:$F,2,FALSE)</f>
        <v>No</v>
      </c>
      <c r="F38" s="46">
        <f t="shared" si="1"/>
        <v>0</v>
      </c>
      <c r="G38" s="43">
        <v>2023</v>
      </c>
      <c r="H38" s="43" t="str">
        <f>VLOOKUP($B38,'World Bank'!$C:$F,3,FALSE)</f>
        <v>No</v>
      </c>
      <c r="I38" s="46">
        <f t="shared" si="2"/>
        <v>0</v>
      </c>
      <c r="J38" s="43">
        <v>2023</v>
      </c>
      <c r="K38" s="43" t="str">
        <f>VLOOKUP($B38,'World Bank'!$C:$F,4,FALSE)</f>
        <v>No</v>
      </c>
      <c r="L38" s="46">
        <f t="shared" si="3"/>
        <v>0</v>
      </c>
      <c r="M38" s="43">
        <v>2022</v>
      </c>
      <c r="N38" s="178" t="s">
        <v>130</v>
      </c>
      <c r="O38" s="46">
        <f t="shared" si="4"/>
        <v>0</v>
      </c>
      <c r="P38" s="48">
        <f t="shared" si="5"/>
        <v>10</v>
      </c>
      <c r="Q38" s="47" t="s">
        <v>960</v>
      </c>
      <c r="R38" s="47">
        <f>VLOOKUP($B38,'World Bank'!$C:$H,6,FALSE)</f>
        <v>2013</v>
      </c>
      <c r="S38" s="331">
        <f>VLOOKUP($B38,'World Bank'!$C:$H,5,FALSE)</f>
        <v>48.7</v>
      </c>
      <c r="T38" s="48">
        <f t="shared" si="6"/>
        <v>9.74</v>
      </c>
    </row>
    <row r="39" spans="1:20" x14ac:dyDescent="0.2">
      <c r="T39" s="45"/>
    </row>
    <row r="40" spans="1:20" x14ac:dyDescent="0.2">
      <c r="P40" s="27" t="s">
        <v>145</v>
      </c>
      <c r="Q40" s="17"/>
      <c r="R40" s="17"/>
      <c r="T40" s="45">
        <f>AVERAGE(T7,T8,T10,T11,T12,T14,T15,T18, T20, T21, T23, T24,T29,T30,T26,T36)</f>
        <v>5.7224999999999993</v>
      </c>
    </row>
    <row r="41" spans="1:20" x14ac:dyDescent="0.2">
      <c r="P41" s="27" t="s">
        <v>146</v>
      </c>
      <c r="Q41" s="17"/>
      <c r="R41" s="17"/>
      <c r="T41" s="45">
        <f>AVERAGE(T17,T25, T27,T31, T32, T34, T38)</f>
        <v>7.18</v>
      </c>
    </row>
  </sheetData>
  <sheetProtection sheet="1" objects="1" scenarios="1"/>
  <mergeCells count="5">
    <mergeCell ref="Q1:S1"/>
    <mergeCell ref="D1:F1"/>
    <mergeCell ref="G1:I1"/>
    <mergeCell ref="J1:L1"/>
    <mergeCell ref="M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C3C6-1D30-4CD6-9A08-CC5B853F602C}">
  <sheetPr>
    <tabColor rgb="FFFCE4D6"/>
  </sheetPr>
  <dimension ref="A1:J191"/>
  <sheetViews>
    <sheetView showGridLines="0" workbookViewId="0">
      <selection activeCell="I59" sqref="I59"/>
    </sheetView>
  </sheetViews>
  <sheetFormatPr baseColWidth="10" defaultColWidth="9" defaultRowHeight="14" x14ac:dyDescent="0.2"/>
  <cols>
    <col min="1" max="1" width="37.6640625" style="40" bestFit="1" customWidth="1"/>
    <col min="2" max="2" width="21.6640625" style="40" bestFit="1" customWidth="1"/>
    <col min="3" max="3" width="8.5" style="40" bestFit="1" customWidth="1"/>
    <col min="4" max="4" width="24.5" style="40" customWidth="1"/>
    <col min="5" max="5" width="9" style="40"/>
    <col min="6" max="6" width="6.1640625" style="191" bestFit="1" customWidth="1"/>
    <col min="7" max="9" width="9" style="191"/>
    <col min="10" max="16384" width="9" style="40"/>
  </cols>
  <sheetData>
    <row r="1" spans="1:10" s="172" customFormat="1" ht="27" x14ac:dyDescent="0.2">
      <c r="A1" s="197" t="s">
        <v>147</v>
      </c>
      <c r="B1" s="197" t="s">
        <v>122</v>
      </c>
      <c r="C1" s="198" t="s">
        <v>122</v>
      </c>
      <c r="D1" s="198" t="s">
        <v>122</v>
      </c>
      <c r="E1" s="147" t="s">
        <v>122</v>
      </c>
      <c r="F1" s="187"/>
      <c r="G1" s="186" t="s">
        <v>148</v>
      </c>
      <c r="H1" s="186" t="s">
        <v>149</v>
      </c>
      <c r="I1" s="186" t="s">
        <v>150</v>
      </c>
    </row>
    <row r="2" spans="1:10" s="139" customFormat="1" x14ac:dyDescent="0.2">
      <c r="A2" s="196" t="s">
        <v>121</v>
      </c>
      <c r="B2" s="146" t="s">
        <v>122</v>
      </c>
      <c r="C2" s="119" t="s">
        <v>122</v>
      </c>
      <c r="D2" s="119" t="s">
        <v>122</v>
      </c>
      <c r="E2" s="119"/>
      <c r="F2" s="136"/>
      <c r="G2" s="194"/>
      <c r="H2" s="194"/>
      <c r="I2" s="194"/>
      <c r="J2" s="226">
        <v>1</v>
      </c>
    </row>
    <row r="3" spans="1:10" s="139" customFormat="1" x14ac:dyDescent="0.2">
      <c r="A3" s="196" t="s">
        <v>123</v>
      </c>
      <c r="B3" s="146" t="s">
        <v>122</v>
      </c>
      <c r="C3" s="119" t="s">
        <v>122</v>
      </c>
      <c r="D3" s="119" t="s">
        <v>122</v>
      </c>
      <c r="E3" s="119"/>
      <c r="F3" s="136"/>
      <c r="G3" s="226"/>
      <c r="H3" s="226"/>
      <c r="I3" s="226"/>
      <c r="J3" s="226">
        <v>5</v>
      </c>
    </row>
    <row r="4" spans="1:10" s="139" customFormat="1" ht="16" x14ac:dyDescent="0.2">
      <c r="A4" s="119" t="s">
        <v>151</v>
      </c>
      <c r="B4" s="119" t="s">
        <v>152</v>
      </c>
      <c r="C4" s="119" t="s">
        <v>153</v>
      </c>
      <c r="D4" s="119" t="s">
        <v>124</v>
      </c>
      <c r="E4" s="119" t="s">
        <v>154</v>
      </c>
      <c r="F4" s="188" t="s">
        <v>125</v>
      </c>
      <c r="G4" s="195" t="s">
        <v>128</v>
      </c>
      <c r="H4" s="195" t="s">
        <v>128</v>
      </c>
      <c r="I4" s="195" t="s">
        <v>128</v>
      </c>
      <c r="J4" s="195" t="s">
        <v>155</v>
      </c>
    </row>
    <row r="5" spans="1:10" s="185" customFormat="1" ht="13" x14ac:dyDescent="0.15">
      <c r="A5" s="192" t="s">
        <v>156</v>
      </c>
      <c r="B5" s="192" t="s">
        <v>806</v>
      </c>
      <c r="C5" s="192" t="s">
        <v>157</v>
      </c>
      <c r="D5" s="192" t="s">
        <v>48</v>
      </c>
      <c r="E5" s="192" t="s">
        <v>50</v>
      </c>
      <c r="F5" s="189">
        <f>IF(((J5-$J$2)/($J$3-$J$2))*10&lt;1,1,((J5-$J$2)/($J$3-$J$2))*10)</f>
        <v>7.416666666666667</v>
      </c>
      <c r="G5" s="193">
        <v>4.2</v>
      </c>
      <c r="H5" s="193">
        <v>4.2</v>
      </c>
      <c r="I5" s="193">
        <v>3.5</v>
      </c>
      <c r="J5" s="227">
        <f>AVERAGE(G5:I5)</f>
        <v>3.9666666666666668</v>
      </c>
    </row>
    <row r="6" spans="1:10" s="185" customFormat="1" ht="13" x14ac:dyDescent="0.15">
      <c r="A6" s="192" t="s">
        <v>807</v>
      </c>
      <c r="B6" s="192" t="s">
        <v>158</v>
      </c>
      <c r="C6" s="192" t="s">
        <v>808</v>
      </c>
      <c r="D6" s="192" t="s">
        <v>48</v>
      </c>
      <c r="E6" s="192" t="s">
        <v>50</v>
      </c>
      <c r="F6" s="189">
        <f t="shared" ref="F6:F69" si="0">IF(((J6-$J$2)/($J$3-$J$2))*10&lt;1,1,((J6-$J$2)/($J$3-$J$2))*10)</f>
        <v>7.416666666666667</v>
      </c>
      <c r="G6" s="193">
        <v>4.2</v>
      </c>
      <c r="H6" s="193">
        <v>4.2</v>
      </c>
      <c r="I6" s="193">
        <v>3.5</v>
      </c>
      <c r="J6" s="227">
        <f t="shared" ref="J6:J69" si="1">AVERAGE(G6:I6)</f>
        <v>3.9666666666666668</v>
      </c>
    </row>
    <row r="7" spans="1:10" s="185" customFormat="1" ht="13" x14ac:dyDescent="0.15">
      <c r="A7" s="192" t="s">
        <v>159</v>
      </c>
      <c r="B7" s="192" t="s">
        <v>219</v>
      </c>
      <c r="C7" s="192" t="s">
        <v>161</v>
      </c>
      <c r="D7" s="192" t="s">
        <v>162</v>
      </c>
      <c r="E7" s="192" t="s">
        <v>163</v>
      </c>
      <c r="F7" s="189">
        <f t="shared" si="0"/>
        <v>6.166666666666667</v>
      </c>
      <c r="G7" s="193">
        <v>3.7</v>
      </c>
      <c r="H7" s="193">
        <v>3.6</v>
      </c>
      <c r="I7" s="193">
        <v>3.1</v>
      </c>
      <c r="J7" s="227">
        <f t="shared" si="1"/>
        <v>3.4666666666666668</v>
      </c>
    </row>
    <row r="8" spans="1:10" s="185" customFormat="1" ht="13" x14ac:dyDescent="0.15">
      <c r="A8" s="192" t="s">
        <v>164</v>
      </c>
      <c r="B8" s="192" t="s">
        <v>809</v>
      </c>
      <c r="C8" s="192" t="s">
        <v>166</v>
      </c>
      <c r="D8" s="192" t="s">
        <v>167</v>
      </c>
      <c r="E8" s="192" t="s">
        <v>168</v>
      </c>
      <c r="F8" s="189">
        <f t="shared" si="0"/>
        <v>3.75</v>
      </c>
      <c r="G8" s="193">
        <v>2.9</v>
      </c>
      <c r="H8" s="193">
        <v>2.6</v>
      </c>
      <c r="I8" s="193">
        <v>2</v>
      </c>
      <c r="J8" s="227">
        <f t="shared" si="1"/>
        <v>2.5</v>
      </c>
    </row>
    <row r="9" spans="1:10" s="185" customFormat="1" ht="13" x14ac:dyDescent="0.15">
      <c r="A9" s="192" t="s">
        <v>169</v>
      </c>
      <c r="B9" s="192" t="s">
        <v>809</v>
      </c>
      <c r="C9" s="192" t="s">
        <v>170</v>
      </c>
      <c r="D9" s="192" t="s">
        <v>171</v>
      </c>
      <c r="E9" s="192" t="s">
        <v>172</v>
      </c>
      <c r="F9" s="189">
        <f t="shared" si="0"/>
        <v>5.916666666666667</v>
      </c>
      <c r="G9" s="193">
        <v>3.5</v>
      </c>
      <c r="H9" s="193">
        <v>3.1</v>
      </c>
      <c r="I9" s="193">
        <v>3.5</v>
      </c>
      <c r="J9" s="227">
        <f t="shared" si="1"/>
        <v>3.3666666666666667</v>
      </c>
    </row>
    <row r="10" spans="1:10" s="185" customFormat="1" ht="13" x14ac:dyDescent="0.15">
      <c r="A10" s="192" t="s">
        <v>173</v>
      </c>
      <c r="B10" s="192" t="s">
        <v>810</v>
      </c>
      <c r="C10" s="192" t="s">
        <v>174</v>
      </c>
      <c r="D10" s="192" t="s">
        <v>88</v>
      </c>
      <c r="E10" s="192" t="s">
        <v>89</v>
      </c>
      <c r="F10" s="189">
        <f t="shared" si="0"/>
        <v>7.3333333333333339</v>
      </c>
      <c r="G10" s="193">
        <v>4.0999999999999996</v>
      </c>
      <c r="H10" s="193">
        <v>3.9</v>
      </c>
      <c r="I10" s="193">
        <v>3.8</v>
      </c>
      <c r="J10" s="227">
        <f t="shared" si="1"/>
        <v>3.9333333333333336</v>
      </c>
    </row>
    <row r="11" spans="1:10" s="185" customFormat="1" ht="13" x14ac:dyDescent="0.15">
      <c r="A11" s="192" t="s">
        <v>175</v>
      </c>
      <c r="B11" s="192" t="s">
        <v>811</v>
      </c>
      <c r="C11" s="192" t="s">
        <v>176</v>
      </c>
      <c r="D11" s="192" t="s">
        <v>98</v>
      </c>
      <c r="E11" s="192" t="s">
        <v>99</v>
      </c>
      <c r="F11" s="189">
        <f t="shared" si="0"/>
        <v>4.8333333333333339</v>
      </c>
      <c r="G11" s="193">
        <v>3</v>
      </c>
      <c r="H11" s="193">
        <v>2.9</v>
      </c>
      <c r="I11" s="193">
        <v>2.9</v>
      </c>
      <c r="J11" s="227">
        <f t="shared" si="1"/>
        <v>2.9333333333333336</v>
      </c>
    </row>
    <row r="12" spans="1:10" s="185" customFormat="1" ht="13" x14ac:dyDescent="0.15">
      <c r="A12" s="192" t="s">
        <v>177</v>
      </c>
      <c r="B12" s="192" t="s">
        <v>812</v>
      </c>
      <c r="C12" s="192" t="s">
        <v>178</v>
      </c>
      <c r="D12" s="192" t="s">
        <v>133</v>
      </c>
      <c r="E12" s="192" t="s">
        <v>134</v>
      </c>
      <c r="F12" s="189">
        <f t="shared" si="0"/>
        <v>5.9166666666666679</v>
      </c>
      <c r="G12" s="193">
        <v>3.7</v>
      </c>
      <c r="H12" s="193">
        <v>3.1</v>
      </c>
      <c r="I12" s="193">
        <v>3.3</v>
      </c>
      <c r="J12" s="227">
        <f t="shared" si="1"/>
        <v>3.3666666666666671</v>
      </c>
    </row>
    <row r="13" spans="1:10" s="185" customFormat="1" ht="13" x14ac:dyDescent="0.15">
      <c r="A13" s="192" t="s">
        <v>814</v>
      </c>
      <c r="B13" s="192" t="s">
        <v>815</v>
      </c>
      <c r="C13" s="192" t="s">
        <v>816</v>
      </c>
      <c r="D13" s="192" t="s">
        <v>133</v>
      </c>
      <c r="E13" s="192" t="s">
        <v>134</v>
      </c>
      <c r="F13" s="189">
        <f t="shared" si="0"/>
        <v>5.9166666666666679</v>
      </c>
      <c r="G13" s="193">
        <v>3.7</v>
      </c>
      <c r="H13" s="193">
        <v>3.1</v>
      </c>
      <c r="I13" s="193">
        <v>3.3</v>
      </c>
      <c r="J13" s="227">
        <f t="shared" si="1"/>
        <v>3.3666666666666671</v>
      </c>
    </row>
    <row r="14" spans="1:10" s="185" customFormat="1" ht="13" x14ac:dyDescent="0.15">
      <c r="A14" s="192" t="s">
        <v>818</v>
      </c>
      <c r="B14" s="192" t="s">
        <v>809</v>
      </c>
      <c r="C14" s="192" t="s">
        <v>819</v>
      </c>
      <c r="D14" s="192" t="s">
        <v>564</v>
      </c>
      <c r="E14" s="192" t="s">
        <v>565</v>
      </c>
      <c r="F14" s="189">
        <f t="shared" si="0"/>
        <v>3.0833333333333335</v>
      </c>
      <c r="G14" s="193">
        <v>2.9</v>
      </c>
      <c r="H14" s="193">
        <v>2.5</v>
      </c>
      <c r="I14" s="193">
        <v>1.3</v>
      </c>
      <c r="J14" s="227">
        <f t="shared" si="1"/>
        <v>2.2333333333333334</v>
      </c>
    </row>
    <row r="15" spans="1:10" s="185" customFormat="1" ht="13" x14ac:dyDescent="0.15">
      <c r="A15" s="192" t="s">
        <v>820</v>
      </c>
      <c r="B15" s="192" t="s">
        <v>821</v>
      </c>
      <c r="C15" s="192" t="s">
        <v>822</v>
      </c>
      <c r="D15" s="192" t="s">
        <v>566</v>
      </c>
      <c r="E15" s="192" t="s">
        <v>567</v>
      </c>
      <c r="F15" s="189">
        <f t="shared" si="0"/>
        <v>5.083333333333333</v>
      </c>
      <c r="G15" s="193">
        <v>2.8</v>
      </c>
      <c r="H15" s="193">
        <v>3.3</v>
      </c>
      <c r="I15" s="193">
        <v>3</v>
      </c>
      <c r="J15" s="227">
        <f t="shared" si="1"/>
        <v>3.0333333333333332</v>
      </c>
    </row>
    <row r="16" spans="1:10" s="185" customFormat="1" ht="13" x14ac:dyDescent="0.15">
      <c r="A16" s="192" t="s">
        <v>179</v>
      </c>
      <c r="B16" s="192" t="s">
        <v>823</v>
      </c>
      <c r="C16" s="192" t="s">
        <v>180</v>
      </c>
      <c r="D16" s="192" t="s">
        <v>181</v>
      </c>
      <c r="E16" s="192" t="s">
        <v>182</v>
      </c>
      <c r="F16" s="189">
        <f t="shared" si="0"/>
        <v>3.583333333333333</v>
      </c>
      <c r="G16" s="193">
        <v>3.3</v>
      </c>
      <c r="H16" s="193">
        <v>2.7</v>
      </c>
      <c r="I16" s="193">
        <v>1.3</v>
      </c>
      <c r="J16" s="227">
        <f t="shared" si="1"/>
        <v>2.4333333333333331</v>
      </c>
    </row>
    <row r="17" spans="1:10" s="185" customFormat="1" ht="13" x14ac:dyDescent="0.15">
      <c r="A17" s="192" t="s">
        <v>183</v>
      </c>
      <c r="B17" s="192" t="s">
        <v>824</v>
      </c>
      <c r="C17" s="192" t="s">
        <v>184</v>
      </c>
      <c r="D17" s="192" t="s">
        <v>181</v>
      </c>
      <c r="E17" s="192" t="s">
        <v>182</v>
      </c>
      <c r="F17" s="189">
        <f t="shared" si="0"/>
        <v>3.583333333333333</v>
      </c>
      <c r="G17" s="193">
        <v>3.3</v>
      </c>
      <c r="H17" s="193">
        <v>2.7</v>
      </c>
      <c r="I17" s="193">
        <v>1.3</v>
      </c>
      <c r="J17" s="227">
        <f t="shared" si="1"/>
        <v>2.4333333333333331</v>
      </c>
    </row>
    <row r="18" spans="1:10" s="185" customFormat="1" ht="13" x14ac:dyDescent="0.15">
      <c r="A18" s="192" t="s">
        <v>825</v>
      </c>
      <c r="B18" s="192" t="s">
        <v>219</v>
      </c>
      <c r="C18" s="192" t="s">
        <v>826</v>
      </c>
      <c r="D18" s="192" t="s">
        <v>181</v>
      </c>
      <c r="E18" s="192" t="s">
        <v>182</v>
      </c>
      <c r="F18" s="189">
        <f t="shared" si="0"/>
        <v>3.583333333333333</v>
      </c>
      <c r="G18" s="193">
        <v>3.3</v>
      </c>
      <c r="H18" s="193">
        <v>2.7</v>
      </c>
      <c r="I18" s="193">
        <v>1.3</v>
      </c>
      <c r="J18" s="227">
        <f t="shared" si="1"/>
        <v>2.4333333333333331</v>
      </c>
    </row>
    <row r="19" spans="1:10" s="185" customFormat="1" ht="13" x14ac:dyDescent="0.15">
      <c r="A19" s="192" t="s">
        <v>185</v>
      </c>
      <c r="B19" s="192" t="s">
        <v>809</v>
      </c>
      <c r="C19" s="192" t="s">
        <v>186</v>
      </c>
      <c r="D19" s="192" t="s">
        <v>75</v>
      </c>
      <c r="E19" s="192" t="s">
        <v>76</v>
      </c>
      <c r="F19" s="189">
        <f t="shared" si="0"/>
        <v>7.0000000000000009</v>
      </c>
      <c r="G19" s="193">
        <v>3.8</v>
      </c>
      <c r="H19" s="193">
        <v>4.2</v>
      </c>
      <c r="I19" s="193">
        <v>3.4</v>
      </c>
      <c r="J19" s="227">
        <f t="shared" si="1"/>
        <v>3.8000000000000003</v>
      </c>
    </row>
    <row r="20" spans="1:10" s="185" customFormat="1" ht="13" x14ac:dyDescent="0.15">
      <c r="A20" s="192" t="s">
        <v>187</v>
      </c>
      <c r="B20" s="192" t="s">
        <v>824</v>
      </c>
      <c r="C20" s="192" t="s">
        <v>188</v>
      </c>
      <c r="D20" s="192" t="s">
        <v>189</v>
      </c>
      <c r="E20" s="192" t="s">
        <v>190</v>
      </c>
      <c r="F20" s="189">
        <f t="shared" si="0"/>
        <v>1</v>
      </c>
      <c r="G20" s="193">
        <v>1.7</v>
      </c>
      <c r="H20" s="193">
        <v>1.4</v>
      </c>
      <c r="I20" s="193">
        <v>0.3</v>
      </c>
      <c r="J20" s="227">
        <f t="shared" si="1"/>
        <v>1.1333333333333331</v>
      </c>
    </row>
    <row r="21" spans="1:10" s="185" customFormat="1" ht="13" x14ac:dyDescent="0.15">
      <c r="A21" s="192" t="s">
        <v>191</v>
      </c>
      <c r="B21" s="192" t="s">
        <v>809</v>
      </c>
      <c r="C21" s="192" t="s">
        <v>192</v>
      </c>
      <c r="D21" s="192" t="s">
        <v>92</v>
      </c>
      <c r="E21" s="192" t="s">
        <v>93</v>
      </c>
      <c r="F21" s="189">
        <f t="shared" si="0"/>
        <v>6.5</v>
      </c>
      <c r="G21" s="193">
        <v>3.8</v>
      </c>
      <c r="H21" s="193">
        <v>3.6</v>
      </c>
      <c r="I21" s="193">
        <v>3.4</v>
      </c>
      <c r="J21" s="227">
        <f t="shared" si="1"/>
        <v>3.6</v>
      </c>
    </row>
    <row r="22" spans="1:10" s="185" customFormat="1" ht="13" x14ac:dyDescent="0.15">
      <c r="A22" s="192" t="s">
        <v>827</v>
      </c>
      <c r="B22" s="192" t="s">
        <v>165</v>
      </c>
      <c r="C22" s="192" t="s">
        <v>193</v>
      </c>
      <c r="D22" s="192" t="s">
        <v>92</v>
      </c>
      <c r="E22" s="192" t="s">
        <v>93</v>
      </c>
      <c r="F22" s="189">
        <f t="shared" si="0"/>
        <v>6.5</v>
      </c>
      <c r="G22" s="193">
        <v>3.8</v>
      </c>
      <c r="H22" s="193">
        <v>3.6</v>
      </c>
      <c r="I22" s="193">
        <v>3.4</v>
      </c>
      <c r="J22" s="227">
        <f t="shared" si="1"/>
        <v>3.6</v>
      </c>
    </row>
    <row r="23" spans="1:10" s="185" customFormat="1" ht="13" x14ac:dyDescent="0.15">
      <c r="A23" s="192" t="s">
        <v>194</v>
      </c>
      <c r="B23" s="192" t="s">
        <v>165</v>
      </c>
      <c r="C23" s="192" t="s">
        <v>195</v>
      </c>
      <c r="D23" s="192" t="s">
        <v>92</v>
      </c>
      <c r="E23" s="192" t="s">
        <v>93</v>
      </c>
      <c r="F23" s="189">
        <f t="shared" si="0"/>
        <v>6.5</v>
      </c>
      <c r="G23" s="193">
        <v>3.8</v>
      </c>
      <c r="H23" s="193">
        <v>3.6</v>
      </c>
      <c r="I23" s="193">
        <v>3.4</v>
      </c>
      <c r="J23" s="227">
        <f t="shared" si="1"/>
        <v>3.6</v>
      </c>
    </row>
    <row r="24" spans="1:10" s="185" customFormat="1" ht="13" x14ac:dyDescent="0.15">
      <c r="A24" s="192" t="s">
        <v>196</v>
      </c>
      <c r="B24" s="192" t="s">
        <v>809</v>
      </c>
      <c r="C24" s="192" t="s">
        <v>197</v>
      </c>
      <c r="D24" s="192" t="s">
        <v>92</v>
      </c>
      <c r="E24" s="192" t="s">
        <v>93</v>
      </c>
      <c r="F24" s="189">
        <f t="shared" si="0"/>
        <v>6.5</v>
      </c>
      <c r="G24" s="193">
        <v>3.8</v>
      </c>
      <c r="H24" s="193">
        <v>3.6</v>
      </c>
      <c r="I24" s="193">
        <v>3.4</v>
      </c>
      <c r="J24" s="227">
        <f t="shared" si="1"/>
        <v>3.6</v>
      </c>
    </row>
    <row r="25" spans="1:10" s="185" customFormat="1" ht="13" x14ac:dyDescent="0.15">
      <c r="A25" s="192" t="s">
        <v>198</v>
      </c>
      <c r="B25" s="192" t="s">
        <v>828</v>
      </c>
      <c r="C25" s="192" t="s">
        <v>199</v>
      </c>
      <c r="D25" s="192" t="s">
        <v>63</v>
      </c>
      <c r="E25" s="192" t="s">
        <v>64</v>
      </c>
      <c r="F25" s="189">
        <f t="shared" si="0"/>
        <v>7.4999999999999991</v>
      </c>
      <c r="G25" s="193">
        <v>4.0999999999999996</v>
      </c>
      <c r="H25" s="193">
        <v>4.3</v>
      </c>
      <c r="I25" s="193">
        <v>3.6</v>
      </c>
      <c r="J25" s="227">
        <f t="shared" si="1"/>
        <v>3.9999999999999996</v>
      </c>
    </row>
    <row r="26" spans="1:10" s="185" customFormat="1" ht="13" x14ac:dyDescent="0.15">
      <c r="A26" s="192" t="s">
        <v>200</v>
      </c>
      <c r="B26" s="192" t="s">
        <v>165</v>
      </c>
      <c r="C26" s="192" t="s">
        <v>201</v>
      </c>
      <c r="D26" s="192" t="s">
        <v>202</v>
      </c>
      <c r="E26" s="192" t="s">
        <v>203</v>
      </c>
      <c r="F26" s="189">
        <f t="shared" si="0"/>
        <v>7.0833333333333339</v>
      </c>
      <c r="G26" s="193">
        <v>4.0999999999999996</v>
      </c>
      <c r="H26" s="193">
        <v>3.6</v>
      </c>
      <c r="I26" s="193">
        <v>3.8</v>
      </c>
      <c r="J26" s="227">
        <f t="shared" si="1"/>
        <v>3.8333333333333335</v>
      </c>
    </row>
    <row r="27" spans="1:10" s="185" customFormat="1" ht="13" x14ac:dyDescent="0.15">
      <c r="A27" s="192" t="s">
        <v>204</v>
      </c>
      <c r="B27" s="192" t="s">
        <v>829</v>
      </c>
      <c r="C27" s="192" t="s">
        <v>205</v>
      </c>
      <c r="D27" s="192" t="s">
        <v>104</v>
      </c>
      <c r="E27" s="192" t="s">
        <v>105</v>
      </c>
      <c r="F27" s="189">
        <f t="shared" si="0"/>
        <v>4.1666666666666661</v>
      </c>
      <c r="G27" s="193">
        <v>3.2</v>
      </c>
      <c r="H27" s="193">
        <v>2.9</v>
      </c>
      <c r="I27" s="193">
        <v>1.9</v>
      </c>
      <c r="J27" s="227">
        <f t="shared" si="1"/>
        <v>2.6666666666666665</v>
      </c>
    </row>
    <row r="28" spans="1:10" s="185" customFormat="1" ht="13" x14ac:dyDescent="0.15">
      <c r="A28" s="192" t="s">
        <v>206</v>
      </c>
      <c r="B28" s="192" t="s">
        <v>824</v>
      </c>
      <c r="C28" s="192" t="s">
        <v>207</v>
      </c>
      <c r="D28" s="192" t="s">
        <v>104</v>
      </c>
      <c r="E28" s="192" t="s">
        <v>105</v>
      </c>
      <c r="F28" s="189">
        <f t="shared" si="0"/>
        <v>4.1666666666666661</v>
      </c>
      <c r="G28" s="193">
        <v>3.2</v>
      </c>
      <c r="H28" s="193">
        <v>2.9</v>
      </c>
      <c r="I28" s="193">
        <v>1.9</v>
      </c>
      <c r="J28" s="227">
        <f t="shared" si="1"/>
        <v>2.6666666666666665</v>
      </c>
    </row>
    <row r="29" spans="1:10" s="185" customFormat="1" ht="13" x14ac:dyDescent="0.15">
      <c r="A29" s="192" t="s">
        <v>208</v>
      </c>
      <c r="B29" s="192" t="s">
        <v>824</v>
      </c>
      <c r="C29" s="192" t="s">
        <v>209</v>
      </c>
      <c r="D29" s="192" t="s">
        <v>210</v>
      </c>
      <c r="E29" s="192" t="s">
        <v>211</v>
      </c>
      <c r="F29" s="189">
        <f t="shared" si="0"/>
        <v>1.25</v>
      </c>
      <c r="G29" s="193">
        <v>2.2000000000000002</v>
      </c>
      <c r="H29" s="193">
        <v>2</v>
      </c>
      <c r="I29" s="193">
        <v>0.3</v>
      </c>
      <c r="J29" s="227">
        <f t="shared" si="1"/>
        <v>1.5</v>
      </c>
    </row>
    <row r="30" spans="1:10" s="185" customFormat="1" ht="13" x14ac:dyDescent="0.15">
      <c r="A30" s="192" t="s">
        <v>830</v>
      </c>
      <c r="B30" s="192" t="s">
        <v>809</v>
      </c>
      <c r="C30" s="192" t="s">
        <v>831</v>
      </c>
      <c r="D30" s="192" t="s">
        <v>568</v>
      </c>
      <c r="E30" s="192" t="s">
        <v>569</v>
      </c>
      <c r="F30" s="189">
        <f t="shared" si="0"/>
        <v>1.0000000000000004</v>
      </c>
      <c r="G30" s="193">
        <v>2.2000000000000002</v>
      </c>
      <c r="H30" s="193">
        <v>1.5</v>
      </c>
      <c r="I30" s="193">
        <v>0.5</v>
      </c>
      <c r="J30" s="227">
        <f t="shared" si="1"/>
        <v>1.4000000000000001</v>
      </c>
    </row>
    <row r="31" spans="1:10" s="185" customFormat="1" ht="13" x14ac:dyDescent="0.15">
      <c r="A31" s="192" t="s">
        <v>212</v>
      </c>
      <c r="B31" s="192" t="s">
        <v>832</v>
      </c>
      <c r="C31" s="192" t="s">
        <v>213</v>
      </c>
      <c r="D31" s="192" t="s">
        <v>214</v>
      </c>
      <c r="E31" s="192" t="s">
        <v>215</v>
      </c>
      <c r="F31" s="189">
        <f t="shared" si="0"/>
        <v>6.166666666666667</v>
      </c>
      <c r="G31" s="193">
        <v>3.5</v>
      </c>
      <c r="H31" s="193">
        <v>3.4</v>
      </c>
      <c r="I31" s="193">
        <v>3.5</v>
      </c>
      <c r="J31" s="227">
        <f t="shared" si="1"/>
        <v>3.4666666666666668</v>
      </c>
    </row>
    <row r="32" spans="1:10" s="185" customFormat="1" ht="13" x14ac:dyDescent="0.15">
      <c r="A32" s="192" t="s">
        <v>216</v>
      </c>
      <c r="B32" s="192" t="s">
        <v>824</v>
      </c>
      <c r="C32" s="192" t="s">
        <v>217</v>
      </c>
      <c r="D32" s="192" t="s">
        <v>214</v>
      </c>
      <c r="E32" s="192" t="s">
        <v>215</v>
      </c>
      <c r="F32" s="189">
        <f t="shared" si="0"/>
        <v>6.166666666666667</v>
      </c>
      <c r="G32" s="193">
        <v>3.5</v>
      </c>
      <c r="H32" s="193">
        <v>3.4</v>
      </c>
      <c r="I32" s="193">
        <v>3.5</v>
      </c>
      <c r="J32" s="227">
        <f t="shared" si="1"/>
        <v>3.4666666666666668</v>
      </c>
    </row>
    <row r="33" spans="1:10" s="185" customFormat="1" ht="13" x14ac:dyDescent="0.15">
      <c r="A33" s="192" t="s">
        <v>218</v>
      </c>
      <c r="B33" s="192" t="s">
        <v>219</v>
      </c>
      <c r="C33" s="192" t="s">
        <v>220</v>
      </c>
      <c r="D33" s="192" t="s">
        <v>214</v>
      </c>
      <c r="E33" s="192" t="s">
        <v>215</v>
      </c>
      <c r="F33" s="189">
        <f t="shared" si="0"/>
        <v>6.166666666666667</v>
      </c>
      <c r="G33" s="193">
        <v>3.5</v>
      </c>
      <c r="H33" s="193">
        <v>3.4</v>
      </c>
      <c r="I33" s="193">
        <v>3.5</v>
      </c>
      <c r="J33" s="227">
        <f t="shared" si="1"/>
        <v>3.4666666666666668</v>
      </c>
    </row>
    <row r="34" spans="1:10" s="185" customFormat="1" ht="13" x14ac:dyDescent="0.15">
      <c r="A34" s="192" t="s">
        <v>221</v>
      </c>
      <c r="B34" s="192" t="s">
        <v>824</v>
      </c>
      <c r="C34" s="192" t="s">
        <v>222</v>
      </c>
      <c r="D34" s="192" t="s">
        <v>223</v>
      </c>
      <c r="E34" s="192" t="s">
        <v>224</v>
      </c>
      <c r="F34" s="189">
        <f t="shared" si="0"/>
        <v>4.8333333333333339</v>
      </c>
      <c r="G34" s="193">
        <v>3.6</v>
      </c>
      <c r="H34" s="193">
        <v>2.8</v>
      </c>
      <c r="I34" s="193">
        <v>2.4</v>
      </c>
      <c r="J34" s="227">
        <f t="shared" si="1"/>
        <v>2.9333333333333336</v>
      </c>
    </row>
    <row r="35" spans="1:10" s="185" customFormat="1" ht="13" x14ac:dyDescent="0.15">
      <c r="A35" s="192" t="s">
        <v>225</v>
      </c>
      <c r="B35" s="192" t="s">
        <v>824</v>
      </c>
      <c r="C35" s="192" t="s">
        <v>226</v>
      </c>
      <c r="D35" s="192" t="s">
        <v>227</v>
      </c>
      <c r="E35" s="192" t="s">
        <v>228</v>
      </c>
      <c r="F35" s="189">
        <f t="shared" si="0"/>
        <v>5.4166666666666661</v>
      </c>
      <c r="G35" s="193">
        <v>3.3</v>
      </c>
      <c r="H35" s="193">
        <v>3.3</v>
      </c>
      <c r="I35" s="193">
        <v>2.9</v>
      </c>
      <c r="J35" s="227">
        <f t="shared" si="1"/>
        <v>3.1666666666666665</v>
      </c>
    </row>
    <row r="36" spans="1:10" s="185" customFormat="1" ht="13" x14ac:dyDescent="0.15">
      <c r="A36" s="192" t="s">
        <v>229</v>
      </c>
      <c r="B36" s="192" t="s">
        <v>824</v>
      </c>
      <c r="C36" s="192" t="s">
        <v>230</v>
      </c>
      <c r="D36" s="192" t="s">
        <v>227</v>
      </c>
      <c r="E36" s="192" t="s">
        <v>228</v>
      </c>
      <c r="F36" s="189">
        <f t="shared" si="0"/>
        <v>5.4166666666666661</v>
      </c>
      <c r="G36" s="193">
        <v>3.3</v>
      </c>
      <c r="H36" s="193">
        <v>3.3</v>
      </c>
      <c r="I36" s="193">
        <v>2.9</v>
      </c>
      <c r="J36" s="227">
        <f t="shared" si="1"/>
        <v>3.1666666666666665</v>
      </c>
    </row>
    <row r="37" spans="1:10" s="185" customFormat="1" ht="13" x14ac:dyDescent="0.15">
      <c r="A37" s="192" t="s">
        <v>231</v>
      </c>
      <c r="B37" s="192" t="s">
        <v>824</v>
      </c>
      <c r="C37" s="192" t="s">
        <v>232</v>
      </c>
      <c r="D37" s="192" t="s">
        <v>227</v>
      </c>
      <c r="E37" s="192" t="s">
        <v>228</v>
      </c>
      <c r="F37" s="189">
        <f t="shared" si="0"/>
        <v>5.4166666666666661</v>
      </c>
      <c r="G37" s="193">
        <v>3.3</v>
      </c>
      <c r="H37" s="193">
        <v>3.3</v>
      </c>
      <c r="I37" s="193">
        <v>2.9</v>
      </c>
      <c r="J37" s="227">
        <f t="shared" si="1"/>
        <v>3.1666666666666665</v>
      </c>
    </row>
    <row r="38" spans="1:10" s="185" customFormat="1" ht="13" x14ac:dyDescent="0.15">
      <c r="A38" s="192" t="s">
        <v>233</v>
      </c>
      <c r="B38" s="192" t="s">
        <v>824</v>
      </c>
      <c r="C38" s="192" t="s">
        <v>234</v>
      </c>
      <c r="D38" s="192" t="s">
        <v>235</v>
      </c>
      <c r="E38" s="192" t="s">
        <v>236</v>
      </c>
      <c r="F38" s="189">
        <f t="shared" si="0"/>
        <v>4.1666666666666661</v>
      </c>
      <c r="G38" s="193">
        <v>3.1</v>
      </c>
      <c r="H38" s="193">
        <v>3.1</v>
      </c>
      <c r="I38" s="193">
        <v>1.8</v>
      </c>
      <c r="J38" s="227">
        <f t="shared" si="1"/>
        <v>2.6666666666666665</v>
      </c>
    </row>
    <row r="39" spans="1:10" s="185" customFormat="1" ht="13" x14ac:dyDescent="0.15">
      <c r="A39" s="192" t="s">
        <v>833</v>
      </c>
      <c r="B39" s="192" t="s">
        <v>821</v>
      </c>
      <c r="C39" s="192" t="s">
        <v>834</v>
      </c>
      <c r="D39" s="192" t="s">
        <v>237</v>
      </c>
      <c r="E39" s="192" t="s">
        <v>238</v>
      </c>
      <c r="F39" s="189">
        <f t="shared" si="0"/>
        <v>5.5833333333333321</v>
      </c>
      <c r="G39" s="193">
        <v>3.3</v>
      </c>
      <c r="H39" s="193">
        <v>2.9</v>
      </c>
      <c r="I39" s="193">
        <v>3.5</v>
      </c>
      <c r="J39" s="227">
        <f t="shared" si="1"/>
        <v>3.2333333333333329</v>
      </c>
    </row>
    <row r="40" spans="1:10" s="185" customFormat="1" ht="13" x14ac:dyDescent="0.15">
      <c r="A40" s="192" t="s">
        <v>239</v>
      </c>
      <c r="B40" s="192" t="s">
        <v>835</v>
      </c>
      <c r="C40" s="192" t="s">
        <v>240</v>
      </c>
      <c r="D40" s="192" t="s">
        <v>241</v>
      </c>
      <c r="E40" s="192" t="s">
        <v>242</v>
      </c>
      <c r="F40" s="189">
        <f t="shared" si="0"/>
        <v>7.8333333333333339</v>
      </c>
      <c r="G40" s="193">
        <v>3.9</v>
      </c>
      <c r="H40" s="193">
        <v>4.0999999999999996</v>
      </c>
      <c r="I40" s="193">
        <v>4.4000000000000004</v>
      </c>
      <c r="J40" s="227">
        <f t="shared" si="1"/>
        <v>4.1333333333333337</v>
      </c>
    </row>
    <row r="41" spans="1:10" s="185" customFormat="1" ht="13" x14ac:dyDescent="0.15">
      <c r="A41" s="192" t="s">
        <v>836</v>
      </c>
      <c r="B41" s="192" t="s">
        <v>824</v>
      </c>
      <c r="C41" s="192" t="s">
        <v>243</v>
      </c>
      <c r="D41" s="192" t="s">
        <v>244</v>
      </c>
      <c r="E41" s="192" t="s">
        <v>245</v>
      </c>
      <c r="F41" s="189">
        <f t="shared" si="0"/>
        <v>1.75</v>
      </c>
      <c r="G41" s="193">
        <v>1.9</v>
      </c>
      <c r="H41" s="193">
        <v>1.5</v>
      </c>
      <c r="I41" s="193" t="s">
        <v>246</v>
      </c>
      <c r="J41" s="227">
        <f t="shared" si="1"/>
        <v>1.7</v>
      </c>
    </row>
    <row r="42" spans="1:10" s="185" customFormat="1" ht="13" x14ac:dyDescent="0.15">
      <c r="A42" s="192" t="s">
        <v>837</v>
      </c>
      <c r="B42" s="192" t="s">
        <v>809</v>
      </c>
      <c r="C42" s="192" t="s">
        <v>838</v>
      </c>
      <c r="D42" s="192" t="s">
        <v>570</v>
      </c>
      <c r="E42" s="192" t="s">
        <v>571</v>
      </c>
      <c r="F42" s="189">
        <f t="shared" si="0"/>
        <v>1</v>
      </c>
      <c r="G42" s="193">
        <v>1.3</v>
      </c>
      <c r="H42" s="193">
        <v>1.2</v>
      </c>
      <c r="I42" s="193">
        <v>0</v>
      </c>
      <c r="J42" s="227">
        <f t="shared" si="1"/>
        <v>0.83333333333333337</v>
      </c>
    </row>
    <row r="43" spans="1:10" s="185" customFormat="1" ht="13" x14ac:dyDescent="0.15">
      <c r="A43" s="192" t="s">
        <v>247</v>
      </c>
      <c r="B43" s="192" t="s">
        <v>839</v>
      </c>
      <c r="C43" s="192" t="s">
        <v>248</v>
      </c>
      <c r="D43" s="192" t="s">
        <v>61</v>
      </c>
      <c r="E43" s="192" t="s">
        <v>62</v>
      </c>
      <c r="F43" s="189">
        <f t="shared" si="0"/>
        <v>5.4999999999999991</v>
      </c>
      <c r="G43" s="193">
        <v>3.2</v>
      </c>
      <c r="H43" s="193">
        <v>3</v>
      </c>
      <c r="I43" s="193">
        <v>3.4</v>
      </c>
      <c r="J43" s="227">
        <f t="shared" si="1"/>
        <v>3.1999999999999997</v>
      </c>
    </row>
    <row r="44" spans="1:10" s="185" customFormat="1" ht="13" x14ac:dyDescent="0.15">
      <c r="A44" s="192" t="s">
        <v>249</v>
      </c>
      <c r="B44" s="192" t="s">
        <v>824</v>
      </c>
      <c r="C44" s="192" t="s">
        <v>250</v>
      </c>
      <c r="D44" s="192" t="s">
        <v>61</v>
      </c>
      <c r="E44" s="192" t="s">
        <v>62</v>
      </c>
      <c r="F44" s="189">
        <f t="shared" si="0"/>
        <v>5.4999999999999991</v>
      </c>
      <c r="G44" s="193">
        <v>3.2</v>
      </c>
      <c r="H44" s="193">
        <v>3</v>
      </c>
      <c r="I44" s="193">
        <v>3.4</v>
      </c>
      <c r="J44" s="227">
        <f t="shared" si="1"/>
        <v>3.1999999999999997</v>
      </c>
    </row>
    <row r="45" spans="1:10" s="185" customFormat="1" ht="13" x14ac:dyDescent="0.15">
      <c r="A45" s="192" t="s">
        <v>251</v>
      </c>
      <c r="B45" s="192" t="s">
        <v>809</v>
      </c>
      <c r="C45" s="192" t="s">
        <v>252</v>
      </c>
      <c r="D45" s="192" t="s">
        <v>61</v>
      </c>
      <c r="E45" s="192" t="s">
        <v>62</v>
      </c>
      <c r="F45" s="189">
        <f t="shared" si="0"/>
        <v>5.4999999999999991</v>
      </c>
      <c r="G45" s="193">
        <v>3.2</v>
      </c>
      <c r="H45" s="193">
        <v>3</v>
      </c>
      <c r="I45" s="193">
        <v>3.4</v>
      </c>
      <c r="J45" s="227">
        <f t="shared" si="1"/>
        <v>3.1999999999999997</v>
      </c>
    </row>
    <row r="46" spans="1:10" s="185" customFormat="1" ht="13" x14ac:dyDescent="0.15">
      <c r="A46" s="192" t="s">
        <v>253</v>
      </c>
      <c r="B46" s="192" t="s">
        <v>219</v>
      </c>
      <c r="C46" s="192" t="s">
        <v>254</v>
      </c>
      <c r="D46" s="192" t="s">
        <v>61</v>
      </c>
      <c r="E46" s="192" t="s">
        <v>62</v>
      </c>
      <c r="F46" s="189">
        <f t="shared" si="0"/>
        <v>5.4999999999999991</v>
      </c>
      <c r="G46" s="193">
        <v>3.2</v>
      </c>
      <c r="H46" s="193">
        <v>3</v>
      </c>
      <c r="I46" s="193">
        <v>3.4</v>
      </c>
      <c r="J46" s="227">
        <f t="shared" si="1"/>
        <v>3.1999999999999997</v>
      </c>
    </row>
    <row r="47" spans="1:10" s="185" customFormat="1" ht="13" x14ac:dyDescent="0.15">
      <c r="A47" s="192" t="s">
        <v>255</v>
      </c>
      <c r="B47" s="192" t="s">
        <v>824</v>
      </c>
      <c r="C47" s="192" t="s">
        <v>256</v>
      </c>
      <c r="D47" s="192" t="s">
        <v>257</v>
      </c>
      <c r="E47" s="192" t="s">
        <v>258</v>
      </c>
      <c r="F47" s="189">
        <f t="shared" si="0"/>
        <v>3.6250000000000004</v>
      </c>
      <c r="G47" s="193">
        <v>2.6</v>
      </c>
      <c r="H47" s="193">
        <v>2.2999999999999998</v>
      </c>
      <c r="I47" s="193" t="s">
        <v>246</v>
      </c>
      <c r="J47" s="227">
        <f t="shared" si="1"/>
        <v>2.4500000000000002</v>
      </c>
    </row>
    <row r="48" spans="1:10" s="185" customFormat="1" ht="13" x14ac:dyDescent="0.15">
      <c r="A48" s="192" t="s">
        <v>259</v>
      </c>
      <c r="B48" s="192" t="s">
        <v>840</v>
      </c>
      <c r="C48" s="192" t="s">
        <v>260</v>
      </c>
      <c r="D48" s="192" t="s">
        <v>102</v>
      </c>
      <c r="E48" s="192" t="s">
        <v>103</v>
      </c>
      <c r="F48" s="189">
        <f t="shared" si="0"/>
        <v>6.416666666666667</v>
      </c>
      <c r="G48" s="193">
        <v>3.7</v>
      </c>
      <c r="H48" s="193">
        <v>3.6</v>
      </c>
      <c r="I48" s="193">
        <v>3.4</v>
      </c>
      <c r="J48" s="227">
        <f t="shared" si="1"/>
        <v>3.5666666666666669</v>
      </c>
    </row>
    <row r="49" spans="1:10" s="185" customFormat="1" ht="13" x14ac:dyDescent="0.15">
      <c r="A49" s="192" t="s">
        <v>261</v>
      </c>
      <c r="B49" s="192" t="s">
        <v>840</v>
      </c>
      <c r="C49" s="192" t="s">
        <v>262</v>
      </c>
      <c r="D49" s="192" t="s">
        <v>108</v>
      </c>
      <c r="E49" s="192" t="s">
        <v>109</v>
      </c>
      <c r="F49" s="189">
        <f t="shared" si="0"/>
        <v>6.333333333333333</v>
      </c>
      <c r="G49" s="193">
        <v>3.7</v>
      </c>
      <c r="H49" s="193">
        <v>3.5</v>
      </c>
      <c r="I49" s="193">
        <v>3.4</v>
      </c>
      <c r="J49" s="227">
        <f t="shared" si="1"/>
        <v>3.5333333333333332</v>
      </c>
    </row>
    <row r="50" spans="1:10" s="185" customFormat="1" ht="13" x14ac:dyDescent="0.15">
      <c r="A50" s="192" t="s">
        <v>263</v>
      </c>
      <c r="B50" s="192" t="s">
        <v>841</v>
      </c>
      <c r="C50" s="192" t="s">
        <v>264</v>
      </c>
      <c r="D50" s="192" t="s">
        <v>71</v>
      </c>
      <c r="E50" s="192" t="s">
        <v>72</v>
      </c>
      <c r="F50" s="189">
        <f t="shared" si="0"/>
        <v>6.7499999999999991</v>
      </c>
      <c r="G50" s="193">
        <v>4.0999999999999996</v>
      </c>
      <c r="H50" s="193">
        <v>3.5</v>
      </c>
      <c r="I50" s="193">
        <v>3.5</v>
      </c>
      <c r="J50" s="227">
        <f t="shared" si="1"/>
        <v>3.6999999999999997</v>
      </c>
    </row>
    <row r="51" spans="1:10" s="185" customFormat="1" ht="13" x14ac:dyDescent="0.15">
      <c r="A51" s="192" t="s">
        <v>842</v>
      </c>
      <c r="B51" s="192" t="s">
        <v>809</v>
      </c>
      <c r="C51" s="192" t="s">
        <v>265</v>
      </c>
      <c r="D51" s="192" t="s">
        <v>266</v>
      </c>
      <c r="E51" s="192" t="s">
        <v>267</v>
      </c>
      <c r="F51" s="189">
        <f t="shared" si="0"/>
        <v>3.2500000000000009</v>
      </c>
      <c r="G51" s="193">
        <v>2.8</v>
      </c>
      <c r="H51" s="193">
        <v>2</v>
      </c>
      <c r="I51" s="193">
        <v>2.1</v>
      </c>
      <c r="J51" s="227">
        <f t="shared" si="1"/>
        <v>2.3000000000000003</v>
      </c>
    </row>
    <row r="52" spans="1:10" s="185" customFormat="1" ht="13" x14ac:dyDescent="0.15">
      <c r="A52" s="192" t="s">
        <v>268</v>
      </c>
      <c r="B52" s="192" t="s">
        <v>843</v>
      </c>
      <c r="C52" s="192" t="s">
        <v>269</v>
      </c>
      <c r="D52" s="192" t="s">
        <v>270</v>
      </c>
      <c r="E52" s="192" t="s">
        <v>271</v>
      </c>
      <c r="F52" s="189">
        <f t="shared" si="0"/>
        <v>4</v>
      </c>
      <c r="G52" s="193">
        <v>3</v>
      </c>
      <c r="H52" s="193">
        <v>2.8</v>
      </c>
      <c r="I52" s="193">
        <v>2</v>
      </c>
      <c r="J52" s="227">
        <f t="shared" si="1"/>
        <v>2.6</v>
      </c>
    </row>
    <row r="53" spans="1:10" s="185" customFormat="1" ht="13" x14ac:dyDescent="0.15">
      <c r="A53" s="192" t="s">
        <v>274</v>
      </c>
      <c r="B53" s="192" t="s">
        <v>824</v>
      </c>
      <c r="C53" s="192" t="s">
        <v>275</v>
      </c>
      <c r="D53" s="192" t="s">
        <v>276</v>
      </c>
      <c r="E53" s="192" t="s">
        <v>277</v>
      </c>
      <c r="F53" s="189">
        <f t="shared" si="0"/>
        <v>6.5</v>
      </c>
      <c r="G53" s="193">
        <v>3.7</v>
      </c>
      <c r="H53" s="193">
        <v>3.2</v>
      </c>
      <c r="I53" s="193">
        <v>3.9</v>
      </c>
      <c r="J53" s="227">
        <f t="shared" si="1"/>
        <v>3.6</v>
      </c>
    </row>
    <row r="54" spans="1:10" s="185" customFormat="1" ht="13" x14ac:dyDescent="0.15">
      <c r="A54" s="192" t="s">
        <v>278</v>
      </c>
      <c r="B54" s="192" t="s">
        <v>845</v>
      </c>
      <c r="C54" s="192" t="s">
        <v>279</v>
      </c>
      <c r="D54" s="192" t="s">
        <v>110</v>
      </c>
      <c r="E54" s="192" t="s">
        <v>111</v>
      </c>
      <c r="F54" s="189">
        <f t="shared" si="0"/>
        <v>6.9166666666666652</v>
      </c>
      <c r="G54" s="193">
        <v>4</v>
      </c>
      <c r="H54" s="193">
        <v>4.2</v>
      </c>
      <c r="I54" s="193">
        <v>3.1</v>
      </c>
      <c r="J54" s="227">
        <f t="shared" si="1"/>
        <v>3.7666666666666662</v>
      </c>
    </row>
    <row r="55" spans="1:10" s="185" customFormat="1" ht="13" x14ac:dyDescent="0.15">
      <c r="A55" s="192" t="s">
        <v>846</v>
      </c>
      <c r="B55" s="192" t="s">
        <v>847</v>
      </c>
      <c r="C55" s="192" t="s">
        <v>280</v>
      </c>
      <c r="D55" s="192" t="s">
        <v>110</v>
      </c>
      <c r="E55" s="192" t="s">
        <v>111</v>
      </c>
      <c r="F55" s="189">
        <f t="shared" si="0"/>
        <v>6.9166666666666652</v>
      </c>
      <c r="G55" s="193">
        <v>4</v>
      </c>
      <c r="H55" s="193">
        <v>4.2</v>
      </c>
      <c r="I55" s="193">
        <v>3.1</v>
      </c>
      <c r="J55" s="227">
        <f t="shared" si="1"/>
        <v>3.7666666666666662</v>
      </c>
    </row>
    <row r="56" spans="1:10" s="185" customFormat="1" ht="13" x14ac:dyDescent="0.15">
      <c r="A56" s="192" t="s">
        <v>281</v>
      </c>
      <c r="B56" s="192" t="s">
        <v>824</v>
      </c>
      <c r="C56" s="192" t="s">
        <v>282</v>
      </c>
      <c r="D56" s="192" t="s">
        <v>110</v>
      </c>
      <c r="E56" s="192" t="s">
        <v>111</v>
      </c>
      <c r="F56" s="189">
        <f t="shared" si="0"/>
        <v>6.9166666666666652</v>
      </c>
      <c r="G56" s="193">
        <v>4</v>
      </c>
      <c r="H56" s="193">
        <v>4.2</v>
      </c>
      <c r="I56" s="193">
        <v>3.1</v>
      </c>
      <c r="J56" s="227">
        <f t="shared" si="1"/>
        <v>3.7666666666666662</v>
      </c>
    </row>
    <row r="57" spans="1:10" s="185" customFormat="1" ht="13" x14ac:dyDescent="0.15">
      <c r="A57" s="192" t="s">
        <v>283</v>
      </c>
      <c r="B57" s="192" t="s">
        <v>824</v>
      </c>
      <c r="C57" s="192" t="s">
        <v>284</v>
      </c>
      <c r="D57" s="192" t="s">
        <v>285</v>
      </c>
      <c r="E57" s="192" t="s">
        <v>286</v>
      </c>
      <c r="F57" s="189">
        <f t="shared" si="0"/>
        <v>3.2499999999999996</v>
      </c>
      <c r="G57" s="193">
        <v>2.4</v>
      </c>
      <c r="H57" s="193">
        <v>2.2000000000000002</v>
      </c>
      <c r="I57" s="193" t="s">
        <v>246</v>
      </c>
      <c r="J57" s="227">
        <f t="shared" si="1"/>
        <v>2.2999999999999998</v>
      </c>
    </row>
    <row r="58" spans="1:10" s="185" customFormat="1" ht="13" x14ac:dyDescent="0.15">
      <c r="A58" s="192" t="s">
        <v>287</v>
      </c>
      <c r="B58" s="192" t="s">
        <v>824</v>
      </c>
      <c r="C58" s="192" t="s">
        <v>288</v>
      </c>
      <c r="D58" s="192" t="s">
        <v>289</v>
      </c>
      <c r="E58" s="192" t="s">
        <v>290</v>
      </c>
      <c r="F58" s="189">
        <f t="shared" si="0"/>
        <v>4.083333333333333</v>
      </c>
      <c r="G58" s="193">
        <v>2.6</v>
      </c>
      <c r="H58" s="193">
        <v>2.4</v>
      </c>
      <c r="I58" s="193">
        <v>2.9</v>
      </c>
      <c r="J58" s="227">
        <f t="shared" si="1"/>
        <v>2.6333333333333333</v>
      </c>
    </row>
    <row r="59" spans="1:10" s="185" customFormat="1" ht="13" x14ac:dyDescent="0.15">
      <c r="A59" s="192" t="s">
        <v>848</v>
      </c>
      <c r="B59" s="192" t="s">
        <v>849</v>
      </c>
      <c r="C59" s="192" t="s">
        <v>291</v>
      </c>
      <c r="D59" s="192" t="s">
        <v>86</v>
      </c>
      <c r="E59" s="192" t="s">
        <v>87</v>
      </c>
      <c r="F59" s="189">
        <f>IF(((J59-$J$2)/($J$3-$J$2))*10&lt;1,1,((J59-$J$2)/($J$3-$J$2))*10)</f>
        <v>4.9166666666666661</v>
      </c>
      <c r="G59" s="193">
        <v>3.6</v>
      </c>
      <c r="H59" s="193">
        <v>3</v>
      </c>
      <c r="I59" s="193">
        <v>2.2999999999999998</v>
      </c>
      <c r="J59" s="227">
        <f t="shared" si="1"/>
        <v>2.9666666666666663</v>
      </c>
    </row>
    <row r="60" spans="1:10" s="185" customFormat="1" ht="13" x14ac:dyDescent="0.15">
      <c r="A60" s="192" t="s">
        <v>292</v>
      </c>
      <c r="B60" s="192" t="s">
        <v>824</v>
      </c>
      <c r="C60" s="192" t="s">
        <v>293</v>
      </c>
      <c r="D60" s="192" t="s">
        <v>86</v>
      </c>
      <c r="E60" s="192" t="s">
        <v>87</v>
      </c>
      <c r="F60" s="189">
        <f t="shared" si="0"/>
        <v>4.9166666666666661</v>
      </c>
      <c r="G60" s="193">
        <v>3.6</v>
      </c>
      <c r="H60" s="193">
        <v>3</v>
      </c>
      <c r="I60" s="193">
        <v>2.2999999999999998</v>
      </c>
      <c r="J60" s="227">
        <f t="shared" si="1"/>
        <v>2.9666666666666663</v>
      </c>
    </row>
    <row r="61" spans="1:10" s="185" customFormat="1" ht="13" x14ac:dyDescent="0.15">
      <c r="A61" s="192" t="s">
        <v>294</v>
      </c>
      <c r="B61" s="192" t="s">
        <v>219</v>
      </c>
      <c r="C61" s="192" t="s">
        <v>295</v>
      </c>
      <c r="D61" s="192" t="s">
        <v>86</v>
      </c>
      <c r="E61" s="192" t="s">
        <v>87</v>
      </c>
      <c r="F61" s="189">
        <f t="shared" si="0"/>
        <v>4.9166666666666661</v>
      </c>
      <c r="G61" s="193">
        <v>3.6</v>
      </c>
      <c r="H61" s="193">
        <v>3</v>
      </c>
      <c r="I61" s="193">
        <v>2.2999999999999998</v>
      </c>
      <c r="J61" s="227">
        <f t="shared" si="1"/>
        <v>2.9666666666666663</v>
      </c>
    </row>
    <row r="62" spans="1:10" s="185" customFormat="1" ht="13" x14ac:dyDescent="0.15">
      <c r="A62" s="192" t="s">
        <v>296</v>
      </c>
      <c r="B62" s="192" t="s">
        <v>824</v>
      </c>
      <c r="C62" s="192" t="s">
        <v>297</v>
      </c>
      <c r="D62" s="192" t="s">
        <v>112</v>
      </c>
      <c r="E62" s="192" t="s">
        <v>113</v>
      </c>
      <c r="F62" s="189">
        <f t="shared" si="0"/>
        <v>5.4999999999999991</v>
      </c>
      <c r="G62" s="193">
        <v>3.6</v>
      </c>
      <c r="H62" s="193">
        <v>3.4</v>
      </c>
      <c r="I62" s="193">
        <v>2.6</v>
      </c>
      <c r="J62" s="227">
        <f t="shared" si="1"/>
        <v>3.1999999999999997</v>
      </c>
    </row>
    <row r="63" spans="1:10" s="185" customFormat="1" ht="13" x14ac:dyDescent="0.15">
      <c r="A63" s="192" t="s">
        <v>298</v>
      </c>
      <c r="B63" s="192" t="s">
        <v>850</v>
      </c>
      <c r="C63" s="192" t="s">
        <v>299</v>
      </c>
      <c r="D63" s="192" t="s">
        <v>112</v>
      </c>
      <c r="E63" s="192" t="s">
        <v>113</v>
      </c>
      <c r="F63" s="189">
        <f t="shared" si="0"/>
        <v>5.4999999999999991</v>
      </c>
      <c r="G63" s="193">
        <v>3.6</v>
      </c>
      <c r="H63" s="193">
        <v>3.4</v>
      </c>
      <c r="I63" s="193">
        <v>2.6</v>
      </c>
      <c r="J63" s="227">
        <f t="shared" si="1"/>
        <v>3.1999999999999997</v>
      </c>
    </row>
    <row r="64" spans="1:10" s="185" customFormat="1" ht="13" x14ac:dyDescent="0.15">
      <c r="A64" s="192" t="s">
        <v>300</v>
      </c>
      <c r="B64" s="192" t="s">
        <v>828</v>
      </c>
      <c r="C64" s="192" t="s">
        <v>301</v>
      </c>
      <c r="D64" s="192" t="s">
        <v>84</v>
      </c>
      <c r="E64" s="192" t="s">
        <v>85</v>
      </c>
      <c r="F64" s="189">
        <f t="shared" si="0"/>
        <v>7.4999999999999991</v>
      </c>
      <c r="G64" s="193">
        <v>4.0999999999999996</v>
      </c>
      <c r="H64" s="193">
        <v>4.3</v>
      </c>
      <c r="I64" s="193">
        <v>3.6</v>
      </c>
      <c r="J64" s="227">
        <f t="shared" si="1"/>
        <v>3.9999999999999996</v>
      </c>
    </row>
    <row r="65" spans="1:10" s="185" customFormat="1" ht="13" x14ac:dyDescent="0.15">
      <c r="A65" s="192" t="s">
        <v>302</v>
      </c>
      <c r="B65" s="192" t="s">
        <v>824</v>
      </c>
      <c r="C65" s="192" t="s">
        <v>303</v>
      </c>
      <c r="D65" s="192" t="s">
        <v>84</v>
      </c>
      <c r="E65" s="192" t="s">
        <v>85</v>
      </c>
      <c r="F65" s="189">
        <f t="shared" si="0"/>
        <v>7.4999999999999991</v>
      </c>
      <c r="G65" s="193">
        <v>4.0999999999999996</v>
      </c>
      <c r="H65" s="193">
        <v>4.3</v>
      </c>
      <c r="I65" s="193">
        <v>3.6</v>
      </c>
      <c r="J65" s="227">
        <f t="shared" si="1"/>
        <v>3.9999999999999996</v>
      </c>
    </row>
    <row r="66" spans="1:10" s="185" customFormat="1" ht="13" x14ac:dyDescent="0.15">
      <c r="A66" s="192" t="s">
        <v>851</v>
      </c>
      <c r="B66" s="192" t="s">
        <v>852</v>
      </c>
      <c r="C66" s="192" t="s">
        <v>853</v>
      </c>
      <c r="D66" s="192" t="s">
        <v>84</v>
      </c>
      <c r="E66" s="192" t="s">
        <v>85</v>
      </c>
      <c r="F66" s="189">
        <f t="shared" si="0"/>
        <v>7.4999999999999991</v>
      </c>
      <c r="G66" s="193">
        <v>4.0999999999999996</v>
      </c>
      <c r="H66" s="193">
        <v>4.3</v>
      </c>
      <c r="I66" s="193">
        <v>3.6</v>
      </c>
      <c r="J66" s="227">
        <f t="shared" si="1"/>
        <v>3.9999999999999996</v>
      </c>
    </row>
    <row r="67" spans="1:10" s="185" customFormat="1" ht="13" x14ac:dyDescent="0.15">
      <c r="A67" s="192" t="s">
        <v>854</v>
      </c>
      <c r="B67" s="192" t="s">
        <v>855</v>
      </c>
      <c r="C67" s="192" t="s">
        <v>856</v>
      </c>
      <c r="D67" s="192" t="s">
        <v>306</v>
      </c>
      <c r="E67" s="192" t="s">
        <v>307</v>
      </c>
      <c r="F67" s="189">
        <f t="shared" si="0"/>
        <v>3.6666666666666661</v>
      </c>
      <c r="G67" s="193">
        <v>3.1</v>
      </c>
      <c r="H67" s="193">
        <v>2.5</v>
      </c>
      <c r="I67" s="193">
        <v>1.8</v>
      </c>
      <c r="J67" s="227">
        <f t="shared" si="1"/>
        <v>2.4666666666666663</v>
      </c>
    </row>
    <row r="68" spans="1:10" s="185" customFormat="1" ht="13" x14ac:dyDescent="0.15">
      <c r="A68" s="192" t="s">
        <v>304</v>
      </c>
      <c r="B68" s="192" t="s">
        <v>857</v>
      </c>
      <c r="C68" s="192" t="s">
        <v>305</v>
      </c>
      <c r="D68" s="192" t="s">
        <v>306</v>
      </c>
      <c r="E68" s="192" t="s">
        <v>307</v>
      </c>
      <c r="F68" s="189">
        <f t="shared" si="0"/>
        <v>3.6666666666666661</v>
      </c>
      <c r="G68" s="193">
        <v>3.1</v>
      </c>
      <c r="H68" s="193">
        <v>2.5</v>
      </c>
      <c r="I68" s="193">
        <v>1.8</v>
      </c>
      <c r="J68" s="227">
        <f t="shared" si="1"/>
        <v>2.4666666666666663</v>
      </c>
    </row>
    <row r="69" spans="1:10" s="185" customFormat="1" ht="13" x14ac:dyDescent="0.15">
      <c r="A69" s="192" t="s">
        <v>858</v>
      </c>
      <c r="B69" s="192" t="s">
        <v>813</v>
      </c>
      <c r="C69" s="192" t="s">
        <v>859</v>
      </c>
      <c r="D69" s="192" t="s">
        <v>306</v>
      </c>
      <c r="E69" s="192" t="s">
        <v>307</v>
      </c>
      <c r="F69" s="189">
        <f t="shared" si="0"/>
        <v>3.6666666666666661</v>
      </c>
      <c r="G69" s="193">
        <v>3.1</v>
      </c>
      <c r="H69" s="193">
        <v>2.5</v>
      </c>
      <c r="I69" s="193">
        <v>1.8</v>
      </c>
      <c r="J69" s="227">
        <f t="shared" si="1"/>
        <v>2.4666666666666663</v>
      </c>
    </row>
    <row r="70" spans="1:10" s="185" customFormat="1" ht="13" x14ac:dyDescent="0.15">
      <c r="A70" s="192" t="s">
        <v>860</v>
      </c>
      <c r="B70" s="192" t="s">
        <v>809</v>
      </c>
      <c r="C70" s="192" t="s">
        <v>861</v>
      </c>
      <c r="D70" s="192" t="s">
        <v>574</v>
      </c>
      <c r="E70" s="192" t="s">
        <v>575</v>
      </c>
      <c r="F70" s="189">
        <f t="shared" ref="F70:F87" si="2">IF(((J70-$J$2)/($J$3-$J$2))*10&lt;1,1,((J70-$J$2)/($J$3-$J$2))*10)</f>
        <v>1</v>
      </c>
      <c r="G70" s="193">
        <v>2</v>
      </c>
      <c r="H70" s="193">
        <v>1.5</v>
      </c>
      <c r="I70" s="193">
        <v>0.1</v>
      </c>
      <c r="J70" s="227">
        <f t="shared" ref="J70:J133" si="3">AVERAGE(G70:I70)</f>
        <v>1.2</v>
      </c>
    </row>
    <row r="71" spans="1:10" s="185" customFormat="1" ht="13" x14ac:dyDescent="0.15">
      <c r="A71" s="192" t="s">
        <v>862</v>
      </c>
      <c r="B71" s="192" t="s">
        <v>809</v>
      </c>
      <c r="C71" s="192" t="s">
        <v>863</v>
      </c>
      <c r="D71" s="192" t="s">
        <v>576</v>
      </c>
      <c r="E71" s="192" t="s">
        <v>577</v>
      </c>
      <c r="F71" s="189">
        <f t="shared" si="2"/>
        <v>1.3333333333333335</v>
      </c>
      <c r="G71" s="193">
        <v>2.2000000000000002</v>
      </c>
      <c r="H71" s="193">
        <v>1.5</v>
      </c>
      <c r="I71" s="193">
        <v>0.9</v>
      </c>
      <c r="J71" s="227">
        <f t="shared" si="3"/>
        <v>1.5333333333333334</v>
      </c>
    </row>
    <row r="72" spans="1:10" s="185" customFormat="1" ht="13" x14ac:dyDescent="0.15">
      <c r="A72" s="192" t="s">
        <v>864</v>
      </c>
      <c r="B72" s="192" t="s">
        <v>865</v>
      </c>
      <c r="C72" s="192" t="s">
        <v>866</v>
      </c>
      <c r="D72" s="192" t="s">
        <v>312</v>
      </c>
      <c r="E72" s="192" t="s">
        <v>313</v>
      </c>
      <c r="F72" s="189">
        <f t="shared" si="2"/>
        <v>5</v>
      </c>
      <c r="G72" s="193">
        <v>3</v>
      </c>
      <c r="H72" s="193">
        <v>2.6</v>
      </c>
      <c r="I72" s="193">
        <v>3.4</v>
      </c>
      <c r="J72" s="227">
        <f t="shared" si="3"/>
        <v>3</v>
      </c>
    </row>
    <row r="73" spans="1:10" s="185" customFormat="1" ht="13" x14ac:dyDescent="0.15">
      <c r="A73" s="192" t="s">
        <v>310</v>
      </c>
      <c r="B73" s="192" t="s">
        <v>824</v>
      </c>
      <c r="C73" s="192" t="s">
        <v>311</v>
      </c>
      <c r="D73" s="192" t="s">
        <v>312</v>
      </c>
      <c r="E73" s="192" t="s">
        <v>313</v>
      </c>
      <c r="F73" s="189">
        <f t="shared" si="2"/>
        <v>5</v>
      </c>
      <c r="G73" s="193">
        <v>3</v>
      </c>
      <c r="H73" s="193">
        <v>2.6</v>
      </c>
      <c r="I73" s="193">
        <v>3.4</v>
      </c>
      <c r="J73" s="227">
        <f t="shared" si="3"/>
        <v>3</v>
      </c>
    </row>
    <row r="74" spans="1:10" s="185" customFormat="1" ht="13" x14ac:dyDescent="0.15">
      <c r="A74" s="192" t="s">
        <v>867</v>
      </c>
      <c r="B74" s="192" t="s">
        <v>158</v>
      </c>
      <c r="C74" s="192" t="s">
        <v>868</v>
      </c>
      <c r="D74" s="192" t="s">
        <v>312</v>
      </c>
      <c r="E74" s="192" t="s">
        <v>313</v>
      </c>
      <c r="F74" s="189">
        <f t="shared" si="2"/>
        <v>5</v>
      </c>
      <c r="G74" s="193">
        <v>3</v>
      </c>
      <c r="H74" s="193">
        <v>2.6</v>
      </c>
      <c r="I74" s="193">
        <v>3.4</v>
      </c>
      <c r="J74" s="227">
        <f t="shared" si="3"/>
        <v>3</v>
      </c>
    </row>
    <row r="75" spans="1:10" s="185" customFormat="1" ht="13" x14ac:dyDescent="0.15">
      <c r="A75" s="192" t="s">
        <v>869</v>
      </c>
      <c r="B75" s="192" t="s">
        <v>821</v>
      </c>
      <c r="C75" s="192" t="s">
        <v>314</v>
      </c>
      <c r="D75" s="192" t="s">
        <v>315</v>
      </c>
      <c r="E75" s="192" t="s">
        <v>316</v>
      </c>
      <c r="F75" s="189">
        <f t="shared" si="2"/>
        <v>5.083333333333333</v>
      </c>
      <c r="G75" s="193">
        <v>3.4</v>
      </c>
      <c r="H75" s="193">
        <v>2.9</v>
      </c>
      <c r="I75" s="193">
        <v>2.8</v>
      </c>
      <c r="J75" s="227">
        <f t="shared" si="3"/>
        <v>3.0333333333333332</v>
      </c>
    </row>
    <row r="76" spans="1:10" s="185" customFormat="1" ht="13" x14ac:dyDescent="0.15">
      <c r="A76" s="192" t="s">
        <v>317</v>
      </c>
      <c r="B76" s="192" t="s">
        <v>870</v>
      </c>
      <c r="C76" s="192" t="s">
        <v>318</v>
      </c>
      <c r="D76" s="192" t="s">
        <v>81</v>
      </c>
      <c r="E76" s="192" t="s">
        <v>83</v>
      </c>
      <c r="F76" s="189">
        <f t="shared" si="2"/>
        <v>6</v>
      </c>
      <c r="G76" s="193">
        <v>3.8</v>
      </c>
      <c r="H76" s="193">
        <v>3.5</v>
      </c>
      <c r="I76" s="193">
        <v>2.9</v>
      </c>
      <c r="J76" s="227">
        <f t="shared" si="3"/>
        <v>3.4</v>
      </c>
    </row>
    <row r="77" spans="1:10" s="185" customFormat="1" ht="13" x14ac:dyDescent="0.15">
      <c r="A77" s="192" t="s">
        <v>319</v>
      </c>
      <c r="B77" s="192" t="s">
        <v>219</v>
      </c>
      <c r="C77" s="192" t="s">
        <v>320</v>
      </c>
      <c r="D77" s="192" t="s">
        <v>81</v>
      </c>
      <c r="E77" s="192" t="s">
        <v>83</v>
      </c>
      <c r="F77" s="189">
        <f t="shared" si="2"/>
        <v>6</v>
      </c>
      <c r="G77" s="193">
        <v>3.8</v>
      </c>
      <c r="H77" s="193">
        <v>3.5</v>
      </c>
      <c r="I77" s="193">
        <v>2.9</v>
      </c>
      <c r="J77" s="227">
        <f t="shared" si="3"/>
        <v>3.4</v>
      </c>
    </row>
    <row r="78" spans="1:10" s="185" customFormat="1" ht="13" x14ac:dyDescent="0.15">
      <c r="A78" s="192" t="s">
        <v>871</v>
      </c>
      <c r="B78" s="192" t="s">
        <v>817</v>
      </c>
      <c r="C78" s="192" t="s">
        <v>872</v>
      </c>
      <c r="D78" s="192" t="s">
        <v>81</v>
      </c>
      <c r="E78" s="192" t="s">
        <v>83</v>
      </c>
      <c r="F78" s="189">
        <f t="shared" si="2"/>
        <v>6</v>
      </c>
      <c r="G78" s="193">
        <v>3.8</v>
      </c>
      <c r="H78" s="193">
        <v>3.5</v>
      </c>
      <c r="I78" s="193">
        <v>2.9</v>
      </c>
      <c r="J78" s="227">
        <f t="shared" si="3"/>
        <v>3.4</v>
      </c>
    </row>
    <row r="79" spans="1:10" s="185" customFormat="1" ht="13" x14ac:dyDescent="0.15">
      <c r="A79" s="192" t="s">
        <v>321</v>
      </c>
      <c r="B79" s="192" t="s">
        <v>873</v>
      </c>
      <c r="C79" s="192" t="s">
        <v>322</v>
      </c>
      <c r="D79" s="192" t="s">
        <v>323</v>
      </c>
      <c r="E79" s="192" t="s">
        <v>324</v>
      </c>
      <c r="F79" s="189">
        <f t="shared" si="2"/>
        <v>5.25</v>
      </c>
      <c r="G79" s="193">
        <v>3.6</v>
      </c>
      <c r="H79" s="193">
        <v>3.2</v>
      </c>
      <c r="I79" s="193">
        <v>2.5</v>
      </c>
      <c r="J79" s="227">
        <f t="shared" si="3"/>
        <v>3.1</v>
      </c>
    </row>
    <row r="80" spans="1:10" s="185" customFormat="1" ht="13" x14ac:dyDescent="0.15">
      <c r="A80" s="192" t="s">
        <v>325</v>
      </c>
      <c r="B80" s="192" t="s">
        <v>873</v>
      </c>
      <c r="C80" s="192" t="s">
        <v>326</v>
      </c>
      <c r="D80" s="192" t="s">
        <v>323</v>
      </c>
      <c r="E80" s="192" t="s">
        <v>324</v>
      </c>
      <c r="F80" s="189">
        <f t="shared" si="2"/>
        <v>5.25</v>
      </c>
      <c r="G80" s="193">
        <v>3.6</v>
      </c>
      <c r="H80" s="193">
        <v>3.2</v>
      </c>
      <c r="I80" s="193">
        <v>2.5</v>
      </c>
      <c r="J80" s="227">
        <f t="shared" si="3"/>
        <v>3.1</v>
      </c>
    </row>
    <row r="81" spans="1:10" s="185" customFormat="1" ht="13" x14ac:dyDescent="0.15">
      <c r="A81" s="192" t="s">
        <v>327</v>
      </c>
      <c r="B81" s="192" t="s">
        <v>824</v>
      </c>
      <c r="C81" s="192" t="s">
        <v>328</v>
      </c>
      <c r="D81" s="192" t="s">
        <v>323</v>
      </c>
      <c r="E81" s="192" t="s">
        <v>324</v>
      </c>
      <c r="F81" s="189">
        <f t="shared" si="2"/>
        <v>5.25</v>
      </c>
      <c r="G81" s="193">
        <v>3.6</v>
      </c>
      <c r="H81" s="193">
        <v>3.2</v>
      </c>
      <c r="I81" s="193">
        <v>2.5</v>
      </c>
      <c r="J81" s="227">
        <f t="shared" si="3"/>
        <v>3.1</v>
      </c>
    </row>
    <row r="82" spans="1:10" s="185" customFormat="1" ht="13" x14ac:dyDescent="0.15">
      <c r="A82" s="192" t="s">
        <v>329</v>
      </c>
      <c r="B82" s="192" t="s">
        <v>165</v>
      </c>
      <c r="C82" s="192" t="s">
        <v>330</v>
      </c>
      <c r="D82" s="192" t="s">
        <v>65</v>
      </c>
      <c r="E82" s="192" t="s">
        <v>66</v>
      </c>
      <c r="F82" s="189">
        <f t="shared" si="2"/>
        <v>5.5833333333333321</v>
      </c>
      <c r="G82" s="193">
        <v>3.6</v>
      </c>
      <c r="H82" s="193">
        <v>3.3</v>
      </c>
      <c r="I82" s="193">
        <v>2.8</v>
      </c>
      <c r="J82" s="227">
        <f t="shared" si="3"/>
        <v>3.2333333333333329</v>
      </c>
    </row>
    <row r="83" spans="1:10" s="185" customFormat="1" ht="13" x14ac:dyDescent="0.15">
      <c r="A83" s="192" t="s">
        <v>331</v>
      </c>
      <c r="B83" s="192" t="s">
        <v>874</v>
      </c>
      <c r="C83" s="192" t="s">
        <v>332</v>
      </c>
      <c r="D83" s="192" t="s">
        <v>69</v>
      </c>
      <c r="E83" s="192" t="s">
        <v>70</v>
      </c>
      <c r="F83" s="189">
        <f t="shared" si="2"/>
        <v>6.5</v>
      </c>
      <c r="G83" s="193">
        <v>3.6</v>
      </c>
      <c r="H83" s="193">
        <v>3.6</v>
      </c>
      <c r="I83" s="193">
        <v>3.6</v>
      </c>
      <c r="J83" s="227">
        <f t="shared" si="3"/>
        <v>3.6</v>
      </c>
    </row>
    <row r="84" spans="1:10" s="185" customFormat="1" ht="13" x14ac:dyDescent="0.15">
      <c r="A84" s="192" t="s">
        <v>333</v>
      </c>
      <c r="B84" s="192" t="s">
        <v>165</v>
      </c>
      <c r="C84" s="192" t="s">
        <v>334</v>
      </c>
      <c r="D84" s="192" t="s">
        <v>69</v>
      </c>
      <c r="E84" s="192" t="s">
        <v>70</v>
      </c>
      <c r="F84" s="189">
        <f t="shared" si="2"/>
        <v>6.5</v>
      </c>
      <c r="G84" s="193">
        <v>3.6</v>
      </c>
      <c r="H84" s="193">
        <v>3.6</v>
      </c>
      <c r="I84" s="193">
        <v>3.6</v>
      </c>
      <c r="J84" s="227">
        <f t="shared" si="3"/>
        <v>3.6</v>
      </c>
    </row>
    <row r="85" spans="1:10" s="185" customFormat="1" ht="13" x14ac:dyDescent="0.15">
      <c r="A85" s="192" t="s">
        <v>335</v>
      </c>
      <c r="B85" s="192" t="s">
        <v>165</v>
      </c>
      <c r="C85" s="192" t="s">
        <v>336</v>
      </c>
      <c r="D85" s="192" t="s">
        <v>69</v>
      </c>
      <c r="E85" s="192" t="s">
        <v>70</v>
      </c>
      <c r="F85" s="189">
        <f t="shared" si="2"/>
        <v>6.5</v>
      </c>
      <c r="G85" s="193">
        <v>3.6</v>
      </c>
      <c r="H85" s="193">
        <v>3.6</v>
      </c>
      <c r="I85" s="193">
        <v>3.6</v>
      </c>
      <c r="J85" s="227">
        <f t="shared" si="3"/>
        <v>3.6</v>
      </c>
    </row>
    <row r="86" spans="1:10" s="185" customFormat="1" ht="13" x14ac:dyDescent="0.15">
      <c r="A86" s="192" t="s">
        <v>337</v>
      </c>
      <c r="B86" s="192" t="s">
        <v>875</v>
      </c>
      <c r="C86" s="192" t="s">
        <v>338</v>
      </c>
      <c r="D86" s="192" t="s">
        <v>69</v>
      </c>
      <c r="E86" s="192" t="s">
        <v>70</v>
      </c>
      <c r="F86" s="189">
        <f t="shared" si="2"/>
        <v>6.5</v>
      </c>
      <c r="G86" s="193">
        <v>3.6</v>
      </c>
      <c r="H86" s="193">
        <v>3.6</v>
      </c>
      <c r="I86" s="193">
        <v>3.6</v>
      </c>
      <c r="J86" s="227">
        <f t="shared" si="3"/>
        <v>3.6</v>
      </c>
    </row>
    <row r="87" spans="1:10" s="185" customFormat="1" ht="13" x14ac:dyDescent="0.15">
      <c r="A87" s="192" t="s">
        <v>985</v>
      </c>
      <c r="B87" s="192" t="s">
        <v>887</v>
      </c>
      <c r="C87" s="192" t="s">
        <v>986</v>
      </c>
      <c r="D87" s="192" t="s">
        <v>667</v>
      </c>
      <c r="E87" s="192" t="s">
        <v>668</v>
      </c>
      <c r="F87" s="189">
        <f t="shared" si="2"/>
        <v>4.1666666666666661</v>
      </c>
      <c r="G87" s="193">
        <v>3.3</v>
      </c>
      <c r="H87" s="193">
        <v>2.8</v>
      </c>
      <c r="I87" s="193">
        <v>1.9</v>
      </c>
      <c r="J87" s="227">
        <f t="shared" si="3"/>
        <v>2.6666666666666665</v>
      </c>
    </row>
    <row r="88" spans="1:10" s="185" customFormat="1" ht="13" x14ac:dyDescent="0.15">
      <c r="A88" s="192" t="s">
        <v>339</v>
      </c>
      <c r="B88" s="192" t="s">
        <v>876</v>
      </c>
      <c r="C88" s="192" t="s">
        <v>340</v>
      </c>
      <c r="D88" s="192" t="s">
        <v>100</v>
      </c>
      <c r="E88" s="192" t="s">
        <v>101</v>
      </c>
      <c r="F88" s="189">
        <f>IF(((J88-$J$2)/($J$3-$J$2))*10&lt;1,1,((J88-$J$2)/($J$3-$J$2))*10)</f>
        <v>6.4166666666666661</v>
      </c>
      <c r="G88" s="193">
        <v>3.7</v>
      </c>
      <c r="H88" s="193">
        <v>3.5</v>
      </c>
      <c r="I88" s="193">
        <v>3.5</v>
      </c>
      <c r="J88" s="227">
        <f t="shared" si="3"/>
        <v>3.5666666666666664</v>
      </c>
    </row>
    <row r="89" spans="1:10" s="185" customFormat="1" ht="13" x14ac:dyDescent="0.15">
      <c r="A89" s="192" t="s">
        <v>341</v>
      </c>
      <c r="B89" s="192" t="s">
        <v>809</v>
      </c>
      <c r="C89" s="192" t="s">
        <v>342</v>
      </c>
      <c r="D89" s="192" t="s">
        <v>100</v>
      </c>
      <c r="E89" s="192" t="s">
        <v>101</v>
      </c>
      <c r="F89" s="189">
        <f t="shared" ref="F89:F121" si="4">IF(((J89-$J$2)/($J$3-$J$2))*10&lt;1,1,((J89-$J$2)/($J$3-$J$2))*10)</f>
        <v>6.4166666666666661</v>
      </c>
      <c r="G89" s="193">
        <v>3.7</v>
      </c>
      <c r="H89" s="193">
        <v>3.5</v>
      </c>
      <c r="I89" s="193">
        <v>3.5</v>
      </c>
      <c r="J89" s="227">
        <f t="shared" si="3"/>
        <v>3.5666666666666664</v>
      </c>
    </row>
    <row r="90" spans="1:10" s="185" customFormat="1" ht="13" x14ac:dyDescent="0.15">
      <c r="A90" s="192" t="s">
        <v>877</v>
      </c>
      <c r="B90" s="192" t="s">
        <v>817</v>
      </c>
      <c r="C90" s="192" t="s">
        <v>878</v>
      </c>
      <c r="D90" s="192" t="s">
        <v>100</v>
      </c>
      <c r="E90" s="192" t="s">
        <v>101</v>
      </c>
      <c r="F90" s="189">
        <f t="shared" si="4"/>
        <v>6.4166666666666661</v>
      </c>
      <c r="G90" s="193">
        <v>3.7</v>
      </c>
      <c r="H90" s="193">
        <v>3.5</v>
      </c>
      <c r="I90" s="193">
        <v>3.5</v>
      </c>
      <c r="J90" s="227">
        <f t="shared" si="3"/>
        <v>3.5666666666666664</v>
      </c>
    </row>
    <row r="91" spans="1:10" s="185" customFormat="1" ht="13" x14ac:dyDescent="0.15">
      <c r="A91" s="192" t="s">
        <v>343</v>
      </c>
      <c r="B91" s="192" t="s">
        <v>824</v>
      </c>
      <c r="C91" s="192" t="s">
        <v>344</v>
      </c>
      <c r="D91" s="192" t="s">
        <v>345</v>
      </c>
      <c r="E91" s="192" t="s">
        <v>346</v>
      </c>
      <c r="F91" s="189">
        <f t="shared" si="4"/>
        <v>5.5833333333333321</v>
      </c>
      <c r="G91" s="193">
        <v>3.6</v>
      </c>
      <c r="H91" s="193">
        <v>3.1</v>
      </c>
      <c r="I91" s="193">
        <v>3</v>
      </c>
      <c r="J91" s="227">
        <f t="shared" si="3"/>
        <v>3.2333333333333329</v>
      </c>
    </row>
    <row r="92" spans="1:10" s="185" customFormat="1" ht="13" x14ac:dyDescent="0.15">
      <c r="A92" s="192" t="s">
        <v>347</v>
      </c>
      <c r="B92" s="192" t="s">
        <v>879</v>
      </c>
      <c r="C92" s="192" t="s">
        <v>348</v>
      </c>
      <c r="D92" s="192" t="s">
        <v>345</v>
      </c>
      <c r="E92" s="192" t="s">
        <v>346</v>
      </c>
      <c r="F92" s="189">
        <f t="shared" si="4"/>
        <v>5.5833333333333321</v>
      </c>
      <c r="G92" s="193">
        <v>3.6</v>
      </c>
      <c r="H92" s="193">
        <v>3.1</v>
      </c>
      <c r="I92" s="193">
        <v>3</v>
      </c>
      <c r="J92" s="227">
        <f t="shared" si="3"/>
        <v>3.2333333333333329</v>
      </c>
    </row>
    <row r="93" spans="1:10" s="185" customFormat="1" ht="13" x14ac:dyDescent="0.15">
      <c r="A93" s="192" t="s">
        <v>349</v>
      </c>
      <c r="B93" s="192" t="s">
        <v>880</v>
      </c>
      <c r="C93" s="192" t="s">
        <v>350</v>
      </c>
      <c r="D93" s="192" t="s">
        <v>106</v>
      </c>
      <c r="E93" s="192" t="s">
        <v>107</v>
      </c>
      <c r="F93" s="189">
        <f t="shared" si="4"/>
        <v>4.666666666666667</v>
      </c>
      <c r="G93" s="193">
        <v>3.5</v>
      </c>
      <c r="H93" s="193">
        <v>2.8</v>
      </c>
      <c r="I93" s="193">
        <v>2.2999999999999998</v>
      </c>
      <c r="J93" s="227">
        <f t="shared" si="3"/>
        <v>2.8666666666666667</v>
      </c>
    </row>
    <row r="94" spans="1:10" s="185" customFormat="1" ht="13" x14ac:dyDescent="0.15">
      <c r="A94" s="192" t="s">
        <v>881</v>
      </c>
      <c r="B94" s="192" t="s">
        <v>817</v>
      </c>
      <c r="C94" s="192" t="s">
        <v>882</v>
      </c>
      <c r="D94" s="192" t="s">
        <v>106</v>
      </c>
      <c r="E94" s="192" t="s">
        <v>107</v>
      </c>
      <c r="F94" s="189">
        <f t="shared" si="4"/>
        <v>4.666666666666667</v>
      </c>
      <c r="G94" s="193">
        <v>3.5</v>
      </c>
      <c r="H94" s="193">
        <v>2.8</v>
      </c>
      <c r="I94" s="193">
        <v>2.2999999999999998</v>
      </c>
      <c r="J94" s="227">
        <f t="shared" si="3"/>
        <v>2.8666666666666667</v>
      </c>
    </row>
    <row r="95" spans="1:10" s="185" customFormat="1" ht="13" x14ac:dyDescent="0.15">
      <c r="A95" s="192" t="s">
        <v>351</v>
      </c>
      <c r="B95" s="192" t="s">
        <v>824</v>
      </c>
      <c r="C95" s="192" t="s">
        <v>352</v>
      </c>
      <c r="D95" s="192" t="s">
        <v>353</v>
      </c>
      <c r="E95" s="192" t="s">
        <v>354</v>
      </c>
      <c r="F95" s="189">
        <f t="shared" si="4"/>
        <v>2.9999999999999991</v>
      </c>
      <c r="G95" s="193">
        <v>2.4</v>
      </c>
      <c r="H95" s="193">
        <v>1.9</v>
      </c>
      <c r="I95" s="193">
        <v>2.2999999999999998</v>
      </c>
      <c r="J95" s="227">
        <f t="shared" si="3"/>
        <v>2.1999999999999997</v>
      </c>
    </row>
    <row r="96" spans="1:10" s="185" customFormat="1" ht="13" x14ac:dyDescent="0.15">
      <c r="A96" s="192" t="s">
        <v>355</v>
      </c>
      <c r="B96" s="192" t="s">
        <v>219</v>
      </c>
      <c r="C96" s="192" t="s">
        <v>356</v>
      </c>
      <c r="D96" s="192" t="s">
        <v>357</v>
      </c>
      <c r="E96" s="192" t="s">
        <v>358</v>
      </c>
      <c r="F96" s="189">
        <f t="shared" si="4"/>
        <v>2.6666666666666661</v>
      </c>
      <c r="G96" s="193">
        <v>2.4</v>
      </c>
      <c r="H96" s="193">
        <v>2.2000000000000002</v>
      </c>
      <c r="I96" s="193">
        <v>1.6</v>
      </c>
      <c r="J96" s="227">
        <f t="shared" si="3"/>
        <v>2.0666666666666664</v>
      </c>
    </row>
    <row r="97" spans="1:10" s="185" customFormat="1" ht="13" x14ac:dyDescent="0.15">
      <c r="A97" s="192" t="s">
        <v>359</v>
      </c>
      <c r="B97" s="192" t="s">
        <v>809</v>
      </c>
      <c r="C97" s="192" t="s">
        <v>360</v>
      </c>
      <c r="D97" s="192" t="s">
        <v>90</v>
      </c>
      <c r="E97" s="192" t="s">
        <v>91</v>
      </c>
      <c r="F97" s="189">
        <f t="shared" si="4"/>
        <v>4.75</v>
      </c>
      <c r="G97" s="193">
        <v>3.4</v>
      </c>
      <c r="H97" s="193">
        <v>3</v>
      </c>
      <c r="I97" s="193">
        <v>2.2999999999999998</v>
      </c>
      <c r="J97" s="227">
        <f t="shared" si="3"/>
        <v>2.9</v>
      </c>
    </row>
    <row r="98" spans="1:10" s="185" customFormat="1" ht="13" x14ac:dyDescent="0.15">
      <c r="A98" s="192" t="s">
        <v>883</v>
      </c>
      <c r="B98" s="192" t="s">
        <v>165</v>
      </c>
      <c r="C98" s="192" t="s">
        <v>361</v>
      </c>
      <c r="D98" s="192" t="s">
        <v>90</v>
      </c>
      <c r="E98" s="192" t="s">
        <v>91</v>
      </c>
      <c r="F98" s="189">
        <f t="shared" si="4"/>
        <v>4.75</v>
      </c>
      <c r="G98" s="193">
        <v>3.4</v>
      </c>
      <c r="H98" s="193">
        <v>3</v>
      </c>
      <c r="I98" s="193">
        <v>2.2999999999999998</v>
      </c>
      <c r="J98" s="227">
        <f t="shared" si="3"/>
        <v>2.9</v>
      </c>
    </row>
    <row r="99" spans="1:10" s="185" customFormat="1" ht="13" x14ac:dyDescent="0.15">
      <c r="A99" s="192" t="s">
        <v>362</v>
      </c>
      <c r="B99" s="192" t="s">
        <v>165</v>
      </c>
      <c r="C99" s="192" t="s">
        <v>363</v>
      </c>
      <c r="D99" s="192" t="s">
        <v>90</v>
      </c>
      <c r="E99" s="192" t="s">
        <v>91</v>
      </c>
      <c r="F99" s="189">
        <f t="shared" si="4"/>
        <v>4.75</v>
      </c>
      <c r="G99" s="193">
        <v>3.4</v>
      </c>
      <c r="H99" s="193">
        <v>3</v>
      </c>
      <c r="I99" s="193">
        <v>2.2999999999999998</v>
      </c>
      <c r="J99" s="227">
        <f t="shared" si="3"/>
        <v>2.9</v>
      </c>
    </row>
    <row r="100" spans="1:10" s="185" customFormat="1" ht="13" x14ac:dyDescent="0.15">
      <c r="A100" s="192" t="s">
        <v>364</v>
      </c>
      <c r="B100" s="192" t="s">
        <v>824</v>
      </c>
      <c r="C100" s="192" t="s">
        <v>365</v>
      </c>
      <c r="D100" s="192" t="s">
        <v>90</v>
      </c>
      <c r="E100" s="192" t="s">
        <v>91</v>
      </c>
      <c r="F100" s="189">
        <f t="shared" si="4"/>
        <v>4.75</v>
      </c>
      <c r="G100" s="193">
        <v>3.4</v>
      </c>
      <c r="H100" s="193">
        <v>3</v>
      </c>
      <c r="I100" s="193">
        <v>2.2999999999999998</v>
      </c>
      <c r="J100" s="227">
        <f t="shared" si="3"/>
        <v>2.9</v>
      </c>
    </row>
    <row r="101" spans="1:10" s="185" customFormat="1" ht="13" x14ac:dyDescent="0.15">
      <c r="A101" s="192" t="s">
        <v>366</v>
      </c>
      <c r="B101" s="192" t="s">
        <v>811</v>
      </c>
      <c r="C101" s="192" t="s">
        <v>367</v>
      </c>
      <c r="D101" s="192" t="s">
        <v>79</v>
      </c>
      <c r="E101" s="192" t="s">
        <v>80</v>
      </c>
      <c r="F101" s="189">
        <f t="shared" si="4"/>
        <v>5.4166666666666661</v>
      </c>
      <c r="G101" s="193">
        <v>3.7</v>
      </c>
      <c r="H101" s="193">
        <v>3.4</v>
      </c>
      <c r="I101" s="193">
        <v>2.4</v>
      </c>
      <c r="J101" s="227">
        <f t="shared" si="3"/>
        <v>3.1666666666666665</v>
      </c>
    </row>
    <row r="102" spans="1:10" s="185" customFormat="1" ht="13" x14ac:dyDescent="0.15">
      <c r="A102" s="192" t="s">
        <v>368</v>
      </c>
      <c r="B102" s="192" t="s">
        <v>884</v>
      </c>
      <c r="C102" s="192" t="s">
        <v>369</v>
      </c>
      <c r="D102" s="192" t="s">
        <v>79</v>
      </c>
      <c r="E102" s="192" t="s">
        <v>80</v>
      </c>
      <c r="F102" s="189">
        <f t="shared" si="4"/>
        <v>5.4166666666666661</v>
      </c>
      <c r="G102" s="193">
        <v>3.7</v>
      </c>
      <c r="H102" s="193">
        <v>3.4</v>
      </c>
      <c r="I102" s="193">
        <v>2.4</v>
      </c>
      <c r="J102" s="227">
        <f t="shared" si="3"/>
        <v>3.1666666666666665</v>
      </c>
    </row>
    <row r="103" spans="1:10" s="185" customFormat="1" ht="13" x14ac:dyDescent="0.15">
      <c r="A103" s="192" t="s">
        <v>885</v>
      </c>
      <c r="B103" s="192" t="s">
        <v>809</v>
      </c>
      <c r="C103" s="192" t="s">
        <v>370</v>
      </c>
      <c r="D103" s="192" t="s">
        <v>79</v>
      </c>
      <c r="E103" s="192" t="s">
        <v>80</v>
      </c>
      <c r="F103" s="189">
        <f t="shared" si="4"/>
        <v>5.4166666666666661</v>
      </c>
      <c r="G103" s="193">
        <v>3.7</v>
      </c>
      <c r="H103" s="193">
        <v>3.4</v>
      </c>
      <c r="I103" s="193">
        <v>2.4</v>
      </c>
      <c r="J103" s="227">
        <f t="shared" si="3"/>
        <v>3.1666666666666665</v>
      </c>
    </row>
    <row r="104" spans="1:10" s="185" customFormat="1" ht="13" x14ac:dyDescent="0.15">
      <c r="A104" s="192" t="s">
        <v>371</v>
      </c>
      <c r="B104" s="192" t="s">
        <v>873</v>
      </c>
      <c r="C104" s="192" t="s">
        <v>372</v>
      </c>
      <c r="D104" s="192" t="s">
        <v>79</v>
      </c>
      <c r="E104" s="192" t="s">
        <v>80</v>
      </c>
      <c r="F104" s="189">
        <f t="shared" si="4"/>
        <v>5.4166666666666661</v>
      </c>
      <c r="G104" s="193">
        <v>3.7</v>
      </c>
      <c r="H104" s="193">
        <v>3.4</v>
      </c>
      <c r="I104" s="193">
        <v>2.4</v>
      </c>
      <c r="J104" s="227">
        <f t="shared" si="3"/>
        <v>3.1666666666666665</v>
      </c>
    </row>
    <row r="105" spans="1:10" s="185" customFormat="1" ht="13" x14ac:dyDescent="0.15">
      <c r="A105" s="192" t="s">
        <v>373</v>
      </c>
      <c r="B105" s="192" t="s">
        <v>824</v>
      </c>
      <c r="C105" s="192" t="s">
        <v>374</v>
      </c>
      <c r="D105" s="192" t="s">
        <v>79</v>
      </c>
      <c r="E105" s="192" t="s">
        <v>80</v>
      </c>
      <c r="F105" s="189">
        <f t="shared" si="4"/>
        <v>5.4166666666666661</v>
      </c>
      <c r="G105" s="193">
        <v>3.7</v>
      </c>
      <c r="H105" s="193">
        <v>3.4</v>
      </c>
      <c r="I105" s="193">
        <v>2.4</v>
      </c>
      <c r="J105" s="227">
        <f t="shared" si="3"/>
        <v>3.1666666666666665</v>
      </c>
    </row>
    <row r="106" spans="1:10" s="185" customFormat="1" ht="13" x14ac:dyDescent="0.15">
      <c r="A106" s="192" t="s">
        <v>375</v>
      </c>
      <c r="B106" s="192" t="s">
        <v>844</v>
      </c>
      <c r="C106" s="192" t="s">
        <v>376</v>
      </c>
      <c r="D106" s="192" t="s">
        <v>377</v>
      </c>
      <c r="E106" s="192" t="s">
        <v>378</v>
      </c>
      <c r="F106" s="189">
        <f t="shared" si="4"/>
        <v>6.9999999999999982</v>
      </c>
      <c r="G106" s="193">
        <v>3.9</v>
      </c>
      <c r="H106" s="193">
        <v>3.7</v>
      </c>
      <c r="I106" s="193">
        <v>3.8</v>
      </c>
      <c r="J106" s="227">
        <f t="shared" si="3"/>
        <v>3.7999999999999994</v>
      </c>
    </row>
    <row r="107" spans="1:10" s="185" customFormat="1" ht="13" x14ac:dyDescent="0.15">
      <c r="A107" s="192" t="s">
        <v>987</v>
      </c>
      <c r="B107" s="192" t="s">
        <v>158</v>
      </c>
      <c r="C107" s="192" t="s">
        <v>988</v>
      </c>
      <c r="D107" s="192" t="s">
        <v>671</v>
      </c>
      <c r="E107" s="192" t="s">
        <v>672</v>
      </c>
      <c r="F107" s="189">
        <f t="shared" si="4"/>
        <v>4.8333333333333339</v>
      </c>
      <c r="G107" s="193">
        <v>3.3</v>
      </c>
      <c r="H107" s="193">
        <v>3</v>
      </c>
      <c r="I107" s="193">
        <v>2.5</v>
      </c>
      <c r="J107" s="227">
        <f t="shared" si="3"/>
        <v>2.9333333333333336</v>
      </c>
    </row>
    <row r="108" spans="1:10" s="185" customFormat="1" ht="13" x14ac:dyDescent="0.15">
      <c r="A108" s="192" t="s">
        <v>379</v>
      </c>
      <c r="B108" s="192" t="s">
        <v>821</v>
      </c>
      <c r="C108" s="192" t="s">
        <v>380</v>
      </c>
      <c r="D108" s="192" t="s">
        <v>73</v>
      </c>
      <c r="E108" s="192" t="s">
        <v>74</v>
      </c>
      <c r="F108" s="189">
        <f t="shared" si="4"/>
        <v>5.8333333333333339</v>
      </c>
      <c r="G108" s="193">
        <v>3.4</v>
      </c>
      <c r="H108" s="193">
        <v>3.2</v>
      </c>
      <c r="I108" s="193">
        <v>3.4</v>
      </c>
      <c r="J108" s="227">
        <f t="shared" si="3"/>
        <v>3.3333333333333335</v>
      </c>
    </row>
    <row r="109" spans="1:10" s="185" customFormat="1" ht="13" x14ac:dyDescent="0.15">
      <c r="A109" s="192" t="s">
        <v>381</v>
      </c>
      <c r="B109" s="192" t="s">
        <v>165</v>
      </c>
      <c r="C109" s="192" t="s">
        <v>382</v>
      </c>
      <c r="D109" s="192" t="s">
        <v>73</v>
      </c>
      <c r="E109" s="192" t="s">
        <v>74</v>
      </c>
      <c r="F109" s="189">
        <f t="shared" si="4"/>
        <v>5.8333333333333339</v>
      </c>
      <c r="G109" s="193">
        <v>3.4</v>
      </c>
      <c r="H109" s="193">
        <v>3.2</v>
      </c>
      <c r="I109" s="193">
        <v>3.4</v>
      </c>
      <c r="J109" s="227">
        <f t="shared" si="3"/>
        <v>3.3333333333333335</v>
      </c>
    </row>
    <row r="110" spans="1:10" s="185" customFormat="1" ht="13" x14ac:dyDescent="0.15">
      <c r="A110" s="192" t="s">
        <v>886</v>
      </c>
      <c r="B110" s="192" t="s">
        <v>887</v>
      </c>
      <c r="C110" s="192" t="s">
        <v>383</v>
      </c>
      <c r="D110" s="192" t="s">
        <v>73</v>
      </c>
      <c r="E110" s="192" t="s">
        <v>74</v>
      </c>
      <c r="F110" s="189">
        <f t="shared" si="4"/>
        <v>5.8333333333333339</v>
      </c>
      <c r="G110" s="193">
        <v>3.4</v>
      </c>
      <c r="H110" s="193">
        <v>3.2</v>
      </c>
      <c r="I110" s="193">
        <v>3.4</v>
      </c>
      <c r="J110" s="227">
        <f t="shared" si="3"/>
        <v>3.3333333333333335</v>
      </c>
    </row>
    <row r="111" spans="1:10" s="185" customFormat="1" ht="13" x14ac:dyDescent="0.15">
      <c r="A111" s="192" t="s">
        <v>384</v>
      </c>
      <c r="B111" s="192" t="s">
        <v>824</v>
      </c>
      <c r="C111" s="192" t="s">
        <v>385</v>
      </c>
      <c r="D111" s="192" t="s">
        <v>386</v>
      </c>
      <c r="E111" s="192" t="s">
        <v>387</v>
      </c>
      <c r="F111" s="189">
        <f t="shared" si="4"/>
        <v>4</v>
      </c>
      <c r="G111" s="193">
        <v>3.2</v>
      </c>
      <c r="H111" s="193">
        <v>2.6</v>
      </c>
      <c r="I111" s="193">
        <v>2</v>
      </c>
      <c r="J111" s="227">
        <f t="shared" si="3"/>
        <v>2.6</v>
      </c>
    </row>
    <row r="112" spans="1:10" s="185" customFormat="1" ht="13" x14ac:dyDescent="0.15">
      <c r="A112" s="192" t="s">
        <v>388</v>
      </c>
      <c r="B112" s="192" t="s">
        <v>824</v>
      </c>
      <c r="C112" s="192" t="s">
        <v>389</v>
      </c>
      <c r="D112" s="192" t="s">
        <v>390</v>
      </c>
      <c r="E112" s="192" t="s">
        <v>391</v>
      </c>
      <c r="F112" s="189">
        <f t="shared" si="4"/>
        <v>4.2499999999999991</v>
      </c>
      <c r="G112" s="193">
        <v>3.2</v>
      </c>
      <c r="H112" s="193">
        <v>3</v>
      </c>
      <c r="I112" s="193">
        <v>1.9</v>
      </c>
      <c r="J112" s="227">
        <f t="shared" si="3"/>
        <v>2.6999999999999997</v>
      </c>
    </row>
    <row r="113" spans="1:10" s="185" customFormat="1" ht="13" x14ac:dyDescent="0.15">
      <c r="A113" s="192" t="s">
        <v>394</v>
      </c>
      <c r="B113" s="192" t="s">
        <v>888</v>
      </c>
      <c r="C113" s="192" t="s">
        <v>395</v>
      </c>
      <c r="D113" s="192" t="s">
        <v>392</v>
      </c>
      <c r="E113" s="192" t="s">
        <v>393</v>
      </c>
      <c r="F113" s="189">
        <f t="shared" si="4"/>
        <v>4.916666666666667</v>
      </c>
      <c r="G113" s="193">
        <v>3.3</v>
      </c>
      <c r="H113" s="193">
        <v>3</v>
      </c>
      <c r="I113" s="193">
        <v>2.6</v>
      </c>
      <c r="J113" s="227">
        <f t="shared" si="3"/>
        <v>2.9666666666666668</v>
      </c>
    </row>
    <row r="114" spans="1:10" s="185" customFormat="1" ht="13" x14ac:dyDescent="0.15">
      <c r="A114" s="192" t="s">
        <v>889</v>
      </c>
      <c r="B114" s="192" t="s">
        <v>158</v>
      </c>
      <c r="C114" s="192" t="s">
        <v>890</v>
      </c>
      <c r="D114" s="192" t="s">
        <v>578</v>
      </c>
      <c r="E114" s="192" t="s">
        <v>579</v>
      </c>
      <c r="F114" s="189">
        <f t="shared" si="4"/>
        <v>5</v>
      </c>
      <c r="G114" s="193">
        <v>3.6</v>
      </c>
      <c r="H114" s="193">
        <v>3.3</v>
      </c>
      <c r="I114" s="193">
        <v>2.1</v>
      </c>
      <c r="J114" s="227">
        <f t="shared" si="3"/>
        <v>3</v>
      </c>
    </row>
    <row r="115" spans="1:10" s="185" customFormat="1" ht="13" x14ac:dyDescent="0.15">
      <c r="A115" s="192" t="s">
        <v>891</v>
      </c>
      <c r="B115" s="192" t="s">
        <v>821</v>
      </c>
      <c r="C115" s="192" t="s">
        <v>396</v>
      </c>
      <c r="D115" s="192" t="s">
        <v>397</v>
      </c>
      <c r="E115" s="192" t="s">
        <v>398</v>
      </c>
      <c r="F115" s="189">
        <f t="shared" si="4"/>
        <v>2.2499999999999991</v>
      </c>
      <c r="G115" s="193">
        <v>2.1</v>
      </c>
      <c r="H115" s="193">
        <v>2</v>
      </c>
      <c r="I115" s="193">
        <v>1.6</v>
      </c>
      <c r="J115" s="227">
        <f t="shared" si="3"/>
        <v>1.8999999999999997</v>
      </c>
    </row>
    <row r="116" spans="1:10" s="185" customFormat="1" ht="13" x14ac:dyDescent="0.15">
      <c r="A116" s="192" t="s">
        <v>399</v>
      </c>
      <c r="B116" s="192" t="s">
        <v>892</v>
      </c>
      <c r="C116" s="192" t="s">
        <v>400</v>
      </c>
      <c r="D116" s="192" t="s">
        <v>401</v>
      </c>
      <c r="E116" s="192" t="s">
        <v>402</v>
      </c>
      <c r="F116" s="189">
        <f t="shared" si="4"/>
        <v>8.1666666666666661</v>
      </c>
      <c r="G116" s="193">
        <v>4.2</v>
      </c>
      <c r="H116" s="193">
        <v>4.2</v>
      </c>
      <c r="I116" s="193">
        <v>4.4000000000000004</v>
      </c>
      <c r="J116" s="227">
        <f t="shared" si="3"/>
        <v>4.2666666666666666</v>
      </c>
    </row>
    <row r="117" spans="1:10" s="185" customFormat="1" ht="13" x14ac:dyDescent="0.15">
      <c r="A117" s="192" t="s">
        <v>403</v>
      </c>
      <c r="B117" s="192" t="s">
        <v>847</v>
      </c>
      <c r="C117" s="192" t="s">
        <v>404</v>
      </c>
      <c r="D117" s="192" t="s">
        <v>77</v>
      </c>
      <c r="E117" s="192" t="s">
        <v>78</v>
      </c>
      <c r="F117" s="189">
        <f t="shared" si="4"/>
        <v>5</v>
      </c>
      <c r="G117" s="193" t="s">
        <v>246</v>
      </c>
      <c r="H117" s="193">
        <v>3</v>
      </c>
      <c r="I117" s="193" t="s">
        <v>246</v>
      </c>
      <c r="J117" s="227">
        <f t="shared" si="3"/>
        <v>3</v>
      </c>
    </row>
    <row r="118" spans="1:10" s="185" customFormat="1" ht="13" x14ac:dyDescent="0.15">
      <c r="A118" s="192" t="s">
        <v>893</v>
      </c>
      <c r="B118" s="192" t="s">
        <v>894</v>
      </c>
      <c r="C118" s="192" t="s">
        <v>895</v>
      </c>
      <c r="D118" s="192" t="s">
        <v>77</v>
      </c>
      <c r="E118" s="192" t="s">
        <v>78</v>
      </c>
      <c r="F118" s="189">
        <f t="shared" si="4"/>
        <v>5</v>
      </c>
      <c r="G118" s="193" t="s">
        <v>246</v>
      </c>
      <c r="H118" s="193">
        <v>3</v>
      </c>
      <c r="I118" s="193" t="s">
        <v>246</v>
      </c>
      <c r="J118" s="227">
        <f t="shared" si="3"/>
        <v>3</v>
      </c>
    </row>
    <row r="119" spans="1:10" s="185" customFormat="1" ht="13" x14ac:dyDescent="0.15">
      <c r="A119" s="192" t="s">
        <v>896</v>
      </c>
      <c r="B119" s="192" t="s">
        <v>894</v>
      </c>
      <c r="C119" s="192" t="s">
        <v>897</v>
      </c>
      <c r="D119" s="192" t="s">
        <v>77</v>
      </c>
      <c r="E119" s="192" t="s">
        <v>78</v>
      </c>
      <c r="F119" s="189">
        <f t="shared" si="4"/>
        <v>5</v>
      </c>
      <c r="G119" s="193" t="s">
        <v>246</v>
      </c>
      <c r="H119" s="193">
        <v>3</v>
      </c>
      <c r="I119" s="193" t="s">
        <v>246</v>
      </c>
      <c r="J119" s="227">
        <f t="shared" si="3"/>
        <v>3</v>
      </c>
    </row>
    <row r="120" spans="1:10" s="185" customFormat="1" ht="13" x14ac:dyDescent="0.15">
      <c r="A120" s="192" t="s">
        <v>898</v>
      </c>
      <c r="B120" s="192">
        <v>0</v>
      </c>
      <c r="C120" s="192" t="s">
        <v>405</v>
      </c>
      <c r="D120" s="192" t="s">
        <v>406</v>
      </c>
      <c r="E120" s="192" t="s">
        <v>407</v>
      </c>
      <c r="F120" s="189">
        <f t="shared" si="4"/>
        <v>6</v>
      </c>
      <c r="G120" s="193">
        <v>3.7</v>
      </c>
      <c r="H120" s="193">
        <v>3.5</v>
      </c>
      <c r="I120" s="193">
        <v>3</v>
      </c>
      <c r="J120" s="227">
        <f t="shared" si="3"/>
        <v>3.4</v>
      </c>
    </row>
    <row r="121" spans="1:10" s="185" customFormat="1" ht="13" x14ac:dyDescent="0.15">
      <c r="A121" s="192" t="s">
        <v>408</v>
      </c>
      <c r="B121" s="192">
        <v>0</v>
      </c>
      <c r="C121" s="192" t="s">
        <v>409</v>
      </c>
      <c r="D121" s="192" t="s">
        <v>410</v>
      </c>
      <c r="E121" s="192" t="s">
        <v>411</v>
      </c>
      <c r="F121" s="189">
        <f t="shared" si="4"/>
        <v>4.1666666666666661</v>
      </c>
      <c r="G121" s="193">
        <v>3.2</v>
      </c>
      <c r="H121" s="193">
        <v>2.9</v>
      </c>
      <c r="I121" s="193">
        <v>1.9</v>
      </c>
      <c r="J121" s="227">
        <f t="shared" si="3"/>
        <v>2.6666666666666665</v>
      </c>
    </row>
    <row r="122" spans="1:10" s="185" customFormat="1" ht="13" x14ac:dyDescent="0.15">
      <c r="A122" s="192" t="s">
        <v>412</v>
      </c>
      <c r="B122" s="192">
        <v>0</v>
      </c>
      <c r="C122" s="192" t="s">
        <v>413</v>
      </c>
      <c r="D122" s="192" t="s">
        <v>580</v>
      </c>
      <c r="E122" s="192" t="s">
        <v>414</v>
      </c>
      <c r="F122" s="189">
        <f>IF(((J122-$J$2)/($J$3-$J$2))*10&lt;1,1,((J122-$J$2)/($J$3-$J$2))*10)</f>
        <v>6</v>
      </c>
      <c r="G122" s="193">
        <v>3.5</v>
      </c>
      <c r="H122" s="193">
        <v>3.4</v>
      </c>
      <c r="I122" s="193">
        <v>3.3</v>
      </c>
      <c r="J122" s="227">
        <f t="shared" si="3"/>
        <v>3.4</v>
      </c>
    </row>
    <row r="123" spans="1:10" s="185" customFormat="1" ht="13" x14ac:dyDescent="0.15">
      <c r="A123" s="192" t="s">
        <v>899</v>
      </c>
      <c r="B123" s="192">
        <v>0</v>
      </c>
      <c r="C123" s="192" t="s">
        <v>415</v>
      </c>
      <c r="D123" s="192" t="s">
        <v>581</v>
      </c>
      <c r="E123" s="192" t="s">
        <v>416</v>
      </c>
      <c r="F123" s="189">
        <f t="shared" ref="F123:F167" si="5">IF(((J123-$J$2)/($J$3-$J$2))*10&lt;1,1,((J123-$J$2)/($J$3-$J$2))*10)</f>
        <v>4.666666666666667</v>
      </c>
      <c r="G123" s="193">
        <v>2.8</v>
      </c>
      <c r="H123" s="193">
        <v>2.5</v>
      </c>
      <c r="I123" s="193">
        <v>3.3</v>
      </c>
      <c r="J123" s="227">
        <f t="shared" si="3"/>
        <v>2.8666666666666667</v>
      </c>
    </row>
    <row r="124" spans="1:10" s="185" customFormat="1" ht="13" x14ac:dyDescent="0.15">
      <c r="A124" s="192" t="s">
        <v>417</v>
      </c>
      <c r="B124" s="192">
        <v>0</v>
      </c>
      <c r="C124" s="192" t="s">
        <v>418</v>
      </c>
      <c r="D124" s="192" t="s">
        <v>419</v>
      </c>
      <c r="E124" s="192" t="s">
        <v>420</v>
      </c>
      <c r="F124" s="189">
        <f t="shared" si="5"/>
        <v>5.083333333333333</v>
      </c>
      <c r="G124" s="193">
        <v>3.1</v>
      </c>
      <c r="H124" s="193">
        <v>3.1</v>
      </c>
      <c r="I124" s="193">
        <v>2.9</v>
      </c>
      <c r="J124" s="227">
        <f t="shared" si="3"/>
        <v>3.0333333333333332</v>
      </c>
    </row>
    <row r="125" spans="1:10" s="185" customFormat="1" ht="13" x14ac:dyDescent="0.15">
      <c r="A125" s="192" t="s">
        <v>421</v>
      </c>
      <c r="B125" s="192">
        <v>0</v>
      </c>
      <c r="C125" s="192" t="s">
        <v>422</v>
      </c>
      <c r="D125" s="192" t="s">
        <v>423</v>
      </c>
      <c r="E125" s="192" t="s">
        <v>424</v>
      </c>
      <c r="F125" s="189">
        <f t="shared" si="5"/>
        <v>4.4166666666666679</v>
      </c>
      <c r="G125" s="193">
        <v>2.7</v>
      </c>
      <c r="H125" s="193">
        <v>2.5</v>
      </c>
      <c r="I125" s="193">
        <v>3.1</v>
      </c>
      <c r="J125" s="227">
        <f t="shared" si="3"/>
        <v>2.7666666666666671</v>
      </c>
    </row>
    <row r="126" spans="1:10" s="185" customFormat="1" ht="13" x14ac:dyDescent="0.15">
      <c r="A126" s="192" t="s">
        <v>425</v>
      </c>
      <c r="B126" s="192">
        <v>0</v>
      </c>
      <c r="C126" s="192" t="s">
        <v>426</v>
      </c>
      <c r="D126" s="192" t="s">
        <v>427</v>
      </c>
      <c r="E126" s="192" t="s">
        <v>428</v>
      </c>
      <c r="F126" s="189">
        <f t="shared" si="5"/>
        <v>6.0833333333333339</v>
      </c>
      <c r="G126" s="193">
        <v>3.6</v>
      </c>
      <c r="H126" s="193">
        <v>3.3</v>
      </c>
      <c r="I126" s="193">
        <v>3.4</v>
      </c>
      <c r="J126" s="227">
        <f t="shared" si="3"/>
        <v>3.4333333333333336</v>
      </c>
    </row>
    <row r="127" spans="1:10" s="185" customFormat="1" ht="13" x14ac:dyDescent="0.15">
      <c r="A127" s="192" t="s">
        <v>429</v>
      </c>
      <c r="B127" s="192">
        <v>0</v>
      </c>
      <c r="C127" s="192" t="s">
        <v>430</v>
      </c>
      <c r="D127" s="192" t="s">
        <v>431</v>
      </c>
      <c r="E127" s="192" t="s">
        <v>432</v>
      </c>
      <c r="F127" s="189">
        <f t="shared" si="5"/>
        <v>5</v>
      </c>
      <c r="G127" s="193">
        <v>3.3</v>
      </c>
      <c r="H127" s="193">
        <v>3</v>
      </c>
      <c r="I127" s="193">
        <v>2.7</v>
      </c>
      <c r="J127" s="227">
        <f t="shared" si="3"/>
        <v>3</v>
      </c>
    </row>
    <row r="128" spans="1:10" s="185" customFormat="1" ht="13" x14ac:dyDescent="0.15">
      <c r="A128" s="192" t="s">
        <v>433</v>
      </c>
      <c r="B128" s="192">
        <v>0</v>
      </c>
      <c r="C128" s="192" t="s">
        <v>434</v>
      </c>
      <c r="D128" s="192" t="s">
        <v>435</v>
      </c>
      <c r="E128" s="192" t="s">
        <v>436</v>
      </c>
      <c r="F128" s="189">
        <f t="shared" si="5"/>
        <v>4.9166666666666661</v>
      </c>
      <c r="G128" s="193">
        <v>3.2</v>
      </c>
      <c r="H128" s="193">
        <v>2.9</v>
      </c>
      <c r="I128" s="193">
        <v>2.8</v>
      </c>
      <c r="J128" s="227">
        <f t="shared" si="3"/>
        <v>2.9666666666666663</v>
      </c>
    </row>
    <row r="129" spans="1:10" s="185" customFormat="1" ht="13" x14ac:dyDescent="0.15">
      <c r="A129" s="192" t="s">
        <v>437</v>
      </c>
      <c r="B129" s="192" t="s">
        <v>219</v>
      </c>
      <c r="C129" s="192" t="s">
        <v>438</v>
      </c>
      <c r="D129" s="192" t="s">
        <v>439</v>
      </c>
      <c r="E129" s="192" t="s">
        <v>440</v>
      </c>
      <c r="F129" s="189">
        <f t="shared" si="5"/>
        <v>6.5</v>
      </c>
      <c r="G129" s="193">
        <v>3.8</v>
      </c>
      <c r="H129" s="193">
        <v>3.6</v>
      </c>
      <c r="I129" s="193">
        <v>3.4</v>
      </c>
      <c r="J129" s="227">
        <f t="shared" si="3"/>
        <v>3.6</v>
      </c>
    </row>
    <row r="130" spans="1:10" s="185" customFormat="1" ht="13" x14ac:dyDescent="0.15">
      <c r="A130" s="192" t="s">
        <v>900</v>
      </c>
      <c r="B130" s="192" t="s">
        <v>158</v>
      </c>
      <c r="C130" s="192" t="s">
        <v>901</v>
      </c>
      <c r="D130" s="192" t="s">
        <v>582</v>
      </c>
      <c r="E130" s="192" t="s">
        <v>583</v>
      </c>
      <c r="F130" s="189">
        <f t="shared" si="5"/>
        <v>6.8333333333333321</v>
      </c>
      <c r="G130" s="193">
        <v>3.7</v>
      </c>
      <c r="H130" s="193">
        <v>3.7</v>
      </c>
      <c r="I130" s="193">
        <v>3.8</v>
      </c>
      <c r="J130" s="227">
        <f t="shared" si="3"/>
        <v>3.7333333333333329</v>
      </c>
    </row>
    <row r="131" spans="1:10" s="185" customFormat="1" ht="13" x14ac:dyDescent="0.15">
      <c r="A131" s="192" t="s">
        <v>902</v>
      </c>
      <c r="B131" s="192" t="s">
        <v>809</v>
      </c>
      <c r="C131" s="192" t="s">
        <v>441</v>
      </c>
      <c r="D131" s="192" t="s">
        <v>442</v>
      </c>
      <c r="E131" s="192" t="s">
        <v>443</v>
      </c>
      <c r="F131" s="189">
        <f t="shared" si="5"/>
        <v>2.9166666666666661</v>
      </c>
      <c r="G131" s="193">
        <v>2.8</v>
      </c>
      <c r="H131" s="193">
        <v>2.1</v>
      </c>
      <c r="I131" s="193">
        <v>1.6</v>
      </c>
      <c r="J131" s="227">
        <f t="shared" si="3"/>
        <v>2.1666666666666665</v>
      </c>
    </row>
    <row r="132" spans="1:10" s="185" customFormat="1" ht="13" x14ac:dyDescent="0.15">
      <c r="A132" s="192" t="s">
        <v>903</v>
      </c>
      <c r="B132" s="192" t="s">
        <v>809</v>
      </c>
      <c r="C132" s="192" t="s">
        <v>904</v>
      </c>
      <c r="D132" s="192" t="s">
        <v>584</v>
      </c>
      <c r="E132" s="192" t="s">
        <v>585</v>
      </c>
      <c r="F132" s="189">
        <f t="shared" si="5"/>
        <v>5.6666666666666679</v>
      </c>
      <c r="G132" s="193">
        <v>3.6</v>
      </c>
      <c r="H132" s="193">
        <v>3.2</v>
      </c>
      <c r="I132" s="193">
        <v>3</v>
      </c>
      <c r="J132" s="227">
        <f t="shared" si="3"/>
        <v>3.2666666666666671</v>
      </c>
    </row>
    <row r="133" spans="1:10" s="185" customFormat="1" ht="13" x14ac:dyDescent="0.15">
      <c r="A133" s="192" t="s">
        <v>444</v>
      </c>
      <c r="B133" s="192" t="s">
        <v>824</v>
      </c>
      <c r="C133" s="192" t="s">
        <v>445</v>
      </c>
      <c r="D133" s="192" t="s">
        <v>446</v>
      </c>
      <c r="E133" s="192" t="s">
        <v>447</v>
      </c>
      <c r="F133" s="189">
        <f t="shared" si="5"/>
        <v>4.083333333333333</v>
      </c>
      <c r="G133" s="193">
        <v>2.4</v>
      </c>
      <c r="H133" s="193">
        <v>2.4</v>
      </c>
      <c r="I133" s="193">
        <v>3.1</v>
      </c>
      <c r="J133" s="227">
        <f t="shared" si="3"/>
        <v>2.6333333333333333</v>
      </c>
    </row>
    <row r="134" spans="1:10" s="185" customFormat="1" ht="13" x14ac:dyDescent="0.15">
      <c r="A134" s="192" t="s">
        <v>448</v>
      </c>
      <c r="B134" s="192" t="s">
        <v>905</v>
      </c>
      <c r="C134" s="192" t="s">
        <v>449</v>
      </c>
      <c r="D134" s="192" t="s">
        <v>53</v>
      </c>
      <c r="E134" s="192" t="s">
        <v>54</v>
      </c>
      <c r="F134" s="189">
        <f t="shared" si="5"/>
        <v>7.7500000000000018</v>
      </c>
      <c r="G134" s="193">
        <v>4.2</v>
      </c>
      <c r="H134" s="193">
        <v>3.6</v>
      </c>
      <c r="I134" s="193">
        <v>4.5</v>
      </c>
      <c r="J134" s="227">
        <f t="shared" ref="J134:J167" si="6">AVERAGE(G134:I134)</f>
        <v>4.1000000000000005</v>
      </c>
    </row>
    <row r="135" spans="1:10" s="185" customFormat="1" ht="13" x14ac:dyDescent="0.15">
      <c r="A135" s="192" t="s">
        <v>450</v>
      </c>
      <c r="B135" s="192" t="s">
        <v>824</v>
      </c>
      <c r="C135" s="192" t="s">
        <v>451</v>
      </c>
      <c r="D135" s="192" t="s">
        <v>53</v>
      </c>
      <c r="E135" s="192" t="s">
        <v>54</v>
      </c>
      <c r="F135" s="189">
        <f t="shared" si="5"/>
        <v>7.7500000000000018</v>
      </c>
      <c r="G135" s="193">
        <v>4.2</v>
      </c>
      <c r="H135" s="193">
        <v>3.6</v>
      </c>
      <c r="I135" s="193">
        <v>4.5</v>
      </c>
      <c r="J135" s="227">
        <f t="shared" si="6"/>
        <v>4.1000000000000005</v>
      </c>
    </row>
    <row r="136" spans="1:10" s="185" customFormat="1" ht="13" x14ac:dyDescent="0.15">
      <c r="A136" s="192" t="s">
        <v>452</v>
      </c>
      <c r="B136" s="192" t="s">
        <v>219</v>
      </c>
      <c r="C136" s="192" t="s">
        <v>453</v>
      </c>
      <c r="D136" s="192" t="s">
        <v>454</v>
      </c>
      <c r="E136" s="192" t="s">
        <v>455</v>
      </c>
      <c r="F136" s="189">
        <f t="shared" si="5"/>
        <v>3.75</v>
      </c>
      <c r="G136" s="193">
        <v>2.8</v>
      </c>
      <c r="H136" s="193">
        <v>2.7</v>
      </c>
      <c r="I136" s="193">
        <v>2</v>
      </c>
      <c r="J136" s="227">
        <f t="shared" si="6"/>
        <v>2.5</v>
      </c>
    </row>
    <row r="137" spans="1:10" s="185" customFormat="1" ht="13" x14ac:dyDescent="0.15">
      <c r="A137" s="192" t="s">
        <v>456</v>
      </c>
      <c r="B137" s="192" t="s">
        <v>906</v>
      </c>
      <c r="C137" s="192" t="s">
        <v>457</v>
      </c>
      <c r="D137" s="192" t="s">
        <v>114</v>
      </c>
      <c r="E137" s="192" t="s">
        <v>115</v>
      </c>
      <c r="F137" s="189">
        <f t="shared" si="5"/>
        <v>4.666666666666667</v>
      </c>
      <c r="G137" s="193">
        <v>3.3</v>
      </c>
      <c r="H137" s="193">
        <v>3.3</v>
      </c>
      <c r="I137" s="193">
        <v>2</v>
      </c>
      <c r="J137" s="227">
        <f t="shared" si="6"/>
        <v>2.8666666666666667</v>
      </c>
    </row>
    <row r="138" spans="1:10" s="185" customFormat="1" ht="13" x14ac:dyDescent="0.15">
      <c r="A138" s="192" t="s">
        <v>458</v>
      </c>
      <c r="B138" s="192" t="s">
        <v>907</v>
      </c>
      <c r="C138" s="192" t="s">
        <v>459</v>
      </c>
      <c r="D138" s="192" t="s">
        <v>57</v>
      </c>
      <c r="E138" s="192" t="s">
        <v>58</v>
      </c>
      <c r="F138" s="189">
        <f t="shared" si="5"/>
        <v>9.1666666666666679</v>
      </c>
      <c r="G138" s="193">
        <v>4.5999999999999996</v>
      </c>
      <c r="H138" s="193">
        <v>4.9000000000000004</v>
      </c>
      <c r="I138" s="193">
        <v>4.5</v>
      </c>
      <c r="J138" s="227">
        <f t="shared" si="6"/>
        <v>4.666666666666667</v>
      </c>
    </row>
    <row r="139" spans="1:10" s="185" customFormat="1" ht="13" x14ac:dyDescent="0.15">
      <c r="A139" s="192" t="s">
        <v>460</v>
      </c>
      <c r="B139" s="192" t="s">
        <v>824</v>
      </c>
      <c r="C139" s="192" t="s">
        <v>461</v>
      </c>
      <c r="D139" s="192" t="s">
        <v>57</v>
      </c>
      <c r="E139" s="192" t="s">
        <v>58</v>
      </c>
      <c r="F139" s="189">
        <f t="shared" si="5"/>
        <v>9.1666666666666679</v>
      </c>
      <c r="G139" s="193">
        <v>4.5999999999999996</v>
      </c>
      <c r="H139" s="193">
        <v>4.9000000000000004</v>
      </c>
      <c r="I139" s="193">
        <v>4.5</v>
      </c>
      <c r="J139" s="227">
        <f t="shared" si="6"/>
        <v>4.666666666666667</v>
      </c>
    </row>
    <row r="140" spans="1:10" s="185" customFormat="1" ht="13" x14ac:dyDescent="0.15">
      <c r="A140" s="192" t="s">
        <v>462</v>
      </c>
      <c r="B140" s="192" t="s">
        <v>908</v>
      </c>
      <c r="C140" s="192" t="s">
        <v>463</v>
      </c>
      <c r="D140" s="192" t="s">
        <v>59</v>
      </c>
      <c r="E140" s="192" t="s">
        <v>60</v>
      </c>
      <c r="F140" s="189">
        <f t="shared" si="5"/>
        <v>8.1666666666666661</v>
      </c>
      <c r="G140" s="193">
        <v>4.4000000000000004</v>
      </c>
      <c r="H140" s="193">
        <v>4.5</v>
      </c>
      <c r="I140" s="193">
        <v>3.9</v>
      </c>
      <c r="J140" s="227">
        <f t="shared" si="6"/>
        <v>4.2666666666666666</v>
      </c>
    </row>
    <row r="141" spans="1:10" s="185" customFormat="1" ht="13" x14ac:dyDescent="0.15">
      <c r="A141" s="192" t="s">
        <v>909</v>
      </c>
      <c r="B141" s="192" t="s">
        <v>821</v>
      </c>
      <c r="C141" s="192" t="s">
        <v>464</v>
      </c>
      <c r="D141" s="192" t="s">
        <v>465</v>
      </c>
      <c r="E141" s="192" t="s">
        <v>466</v>
      </c>
      <c r="F141" s="189">
        <f t="shared" si="5"/>
        <v>2</v>
      </c>
      <c r="G141" s="193">
        <v>2.5</v>
      </c>
      <c r="H141" s="193">
        <v>1.9</v>
      </c>
      <c r="I141" s="193">
        <v>1</v>
      </c>
      <c r="J141" s="227">
        <f t="shared" si="6"/>
        <v>1.8</v>
      </c>
    </row>
    <row r="142" spans="1:10" s="185" customFormat="1" ht="13" x14ac:dyDescent="0.15">
      <c r="A142" s="192" t="s">
        <v>467</v>
      </c>
      <c r="B142" s="192" t="s">
        <v>219</v>
      </c>
      <c r="C142" s="192" t="s">
        <v>468</v>
      </c>
      <c r="D142" s="192" t="s">
        <v>469</v>
      </c>
      <c r="E142" s="192" t="s">
        <v>470</v>
      </c>
      <c r="F142" s="189">
        <f t="shared" si="5"/>
        <v>5.916666666666667</v>
      </c>
      <c r="G142" s="193">
        <v>3.3</v>
      </c>
      <c r="H142" s="193">
        <v>3</v>
      </c>
      <c r="I142" s="193">
        <v>3.8</v>
      </c>
      <c r="J142" s="227">
        <f t="shared" si="6"/>
        <v>3.3666666666666667</v>
      </c>
    </row>
    <row r="143" spans="1:10" s="185" customFormat="1" ht="13" x14ac:dyDescent="0.15">
      <c r="A143" s="192" t="s">
        <v>471</v>
      </c>
      <c r="B143" s="192" t="s">
        <v>811</v>
      </c>
      <c r="C143" s="192" t="s">
        <v>472</v>
      </c>
      <c r="D143" s="192" t="s">
        <v>55</v>
      </c>
      <c r="E143" s="192" t="s">
        <v>56</v>
      </c>
      <c r="F143" s="189">
        <f t="shared" si="5"/>
        <v>8.5833333333333339</v>
      </c>
      <c r="G143" s="193">
        <v>4.4000000000000004</v>
      </c>
      <c r="H143" s="193">
        <v>4.5999999999999996</v>
      </c>
      <c r="I143" s="193">
        <v>4.3</v>
      </c>
      <c r="J143" s="227">
        <f t="shared" si="6"/>
        <v>4.4333333333333336</v>
      </c>
    </row>
    <row r="144" spans="1:10" s="185" customFormat="1" ht="13" x14ac:dyDescent="0.15">
      <c r="A144" s="192" t="s">
        <v>910</v>
      </c>
      <c r="B144" s="192" t="s">
        <v>158</v>
      </c>
      <c r="C144" s="192" t="s">
        <v>911</v>
      </c>
      <c r="D144" s="192" t="s">
        <v>55</v>
      </c>
      <c r="E144" s="192" t="s">
        <v>56</v>
      </c>
      <c r="F144" s="189">
        <f t="shared" si="5"/>
        <v>8.5833333333333339</v>
      </c>
      <c r="G144" s="193">
        <v>4.4000000000000004</v>
      </c>
      <c r="H144" s="193">
        <v>4.5999999999999996</v>
      </c>
      <c r="I144" s="193">
        <v>4.3</v>
      </c>
      <c r="J144" s="227">
        <f t="shared" si="6"/>
        <v>4.4333333333333336</v>
      </c>
    </row>
    <row r="145" spans="1:10" s="185" customFormat="1" ht="13" x14ac:dyDescent="0.15">
      <c r="A145" s="192" t="s">
        <v>473</v>
      </c>
      <c r="B145" s="192" t="s">
        <v>809</v>
      </c>
      <c r="C145" s="192" t="s">
        <v>474</v>
      </c>
      <c r="D145" s="192" t="s">
        <v>67</v>
      </c>
      <c r="E145" s="192" t="s">
        <v>68</v>
      </c>
      <c r="F145" s="189">
        <f t="shared" si="5"/>
        <v>7.4166666666666661</v>
      </c>
      <c r="G145" s="193">
        <v>4</v>
      </c>
      <c r="H145" s="193">
        <v>3.8</v>
      </c>
      <c r="I145" s="193">
        <v>4.0999999999999996</v>
      </c>
      <c r="J145" s="227">
        <f t="shared" si="6"/>
        <v>3.9666666666666663</v>
      </c>
    </row>
    <row r="146" spans="1:10" s="185" customFormat="1" ht="13" x14ac:dyDescent="0.15">
      <c r="A146" s="192" t="s">
        <v>912</v>
      </c>
      <c r="B146" s="192" t="s">
        <v>165</v>
      </c>
      <c r="C146" s="192" t="s">
        <v>475</v>
      </c>
      <c r="D146" s="192" t="s">
        <v>67</v>
      </c>
      <c r="E146" s="192" t="s">
        <v>68</v>
      </c>
      <c r="F146" s="189">
        <f t="shared" si="5"/>
        <v>7.4166666666666661</v>
      </c>
      <c r="G146" s="193">
        <v>4</v>
      </c>
      <c r="H146" s="193">
        <v>3.8</v>
      </c>
      <c r="I146" s="193">
        <v>4.0999999999999996</v>
      </c>
      <c r="J146" s="227">
        <f t="shared" si="6"/>
        <v>3.9666666666666663</v>
      </c>
    </row>
    <row r="147" spans="1:10" s="185" customFormat="1" ht="13" x14ac:dyDescent="0.15">
      <c r="A147" s="192" t="s">
        <v>476</v>
      </c>
      <c r="B147" s="192" t="s">
        <v>824</v>
      </c>
      <c r="C147" s="192" t="s">
        <v>477</v>
      </c>
      <c r="D147" s="192" t="s">
        <v>67</v>
      </c>
      <c r="E147" s="192" t="s">
        <v>68</v>
      </c>
      <c r="F147" s="189">
        <f t="shared" si="5"/>
        <v>7.4166666666666661</v>
      </c>
      <c r="G147" s="193">
        <v>4</v>
      </c>
      <c r="H147" s="193">
        <v>3.8</v>
      </c>
      <c r="I147" s="193">
        <v>4.0999999999999996</v>
      </c>
      <c r="J147" s="227">
        <f t="shared" si="6"/>
        <v>3.9666666666666663</v>
      </c>
    </row>
    <row r="148" spans="1:10" s="185" customFormat="1" ht="13" x14ac:dyDescent="0.15">
      <c r="A148" s="192" t="s">
        <v>478</v>
      </c>
      <c r="B148" s="192" t="s">
        <v>824</v>
      </c>
      <c r="C148" s="192" t="s">
        <v>479</v>
      </c>
      <c r="D148" s="192" t="s">
        <v>67</v>
      </c>
      <c r="E148" s="192" t="s">
        <v>68</v>
      </c>
      <c r="F148" s="189">
        <f t="shared" si="5"/>
        <v>7.4166666666666661</v>
      </c>
      <c r="G148" s="193">
        <v>4</v>
      </c>
      <c r="H148" s="193">
        <v>3.8</v>
      </c>
      <c r="I148" s="193">
        <v>4.0999999999999996</v>
      </c>
      <c r="J148" s="227">
        <f t="shared" si="6"/>
        <v>3.9666666666666663</v>
      </c>
    </row>
    <row r="149" spans="1:10" s="185" customFormat="1" ht="13" x14ac:dyDescent="0.15">
      <c r="A149" s="192" t="s">
        <v>482</v>
      </c>
      <c r="B149" s="192" t="s">
        <v>165</v>
      </c>
      <c r="C149" s="192" t="s">
        <v>483</v>
      </c>
      <c r="D149" s="192" t="s">
        <v>480</v>
      </c>
      <c r="E149" s="192" t="s">
        <v>481</v>
      </c>
      <c r="F149" s="189">
        <f t="shared" si="5"/>
        <v>5</v>
      </c>
      <c r="G149" s="193">
        <v>3.2</v>
      </c>
      <c r="H149" s="193">
        <v>2.4</v>
      </c>
      <c r="I149" s="193">
        <v>3.4</v>
      </c>
      <c r="J149" s="227">
        <f t="shared" si="6"/>
        <v>3</v>
      </c>
    </row>
    <row r="150" spans="1:10" s="185" customFormat="1" ht="13" x14ac:dyDescent="0.15">
      <c r="A150" s="192" t="s">
        <v>913</v>
      </c>
      <c r="B150" s="192" t="s">
        <v>160</v>
      </c>
      <c r="C150" s="192" t="s">
        <v>914</v>
      </c>
      <c r="D150" s="192" t="s">
        <v>586</v>
      </c>
      <c r="E150" s="192" t="s">
        <v>587</v>
      </c>
      <c r="F150" s="189">
        <f t="shared" si="5"/>
        <v>4.3333333333333321</v>
      </c>
      <c r="G150" s="193">
        <v>3.1</v>
      </c>
      <c r="H150" s="193">
        <v>3.6</v>
      </c>
      <c r="I150" s="193">
        <v>1.5</v>
      </c>
      <c r="J150" s="227">
        <f t="shared" si="6"/>
        <v>2.7333333333333329</v>
      </c>
    </row>
    <row r="151" spans="1:10" s="185" customFormat="1" ht="13" x14ac:dyDescent="0.15">
      <c r="A151" s="192" t="s">
        <v>486</v>
      </c>
      <c r="B151" s="192" t="s">
        <v>824</v>
      </c>
      <c r="C151" s="192" t="s">
        <v>487</v>
      </c>
      <c r="D151" s="192" t="s">
        <v>488</v>
      </c>
      <c r="E151" s="192" t="s">
        <v>489</v>
      </c>
      <c r="F151" s="189">
        <f t="shared" si="5"/>
        <v>3.3333333333333339</v>
      </c>
      <c r="G151" s="193">
        <v>3</v>
      </c>
      <c r="H151" s="193">
        <v>2.6</v>
      </c>
      <c r="I151" s="193">
        <v>1.4</v>
      </c>
      <c r="J151" s="227">
        <f t="shared" si="6"/>
        <v>2.3333333333333335</v>
      </c>
    </row>
    <row r="152" spans="1:10" s="185" customFormat="1" ht="13" x14ac:dyDescent="0.15">
      <c r="A152" s="192" t="s">
        <v>490</v>
      </c>
      <c r="B152" s="192" t="s">
        <v>824</v>
      </c>
      <c r="C152" s="192" t="s">
        <v>491</v>
      </c>
      <c r="D152" s="192" t="s">
        <v>492</v>
      </c>
      <c r="E152" s="192" t="s">
        <v>493</v>
      </c>
      <c r="F152" s="189">
        <f t="shared" si="5"/>
        <v>3.833333333333333</v>
      </c>
      <c r="G152" s="193">
        <v>2.9</v>
      </c>
      <c r="H152" s="193">
        <v>2.4</v>
      </c>
      <c r="I152" s="193">
        <v>2.2999999999999998</v>
      </c>
      <c r="J152" s="227">
        <f t="shared" si="6"/>
        <v>2.5333333333333332</v>
      </c>
    </row>
    <row r="153" spans="1:10" s="185" customFormat="1" ht="13" x14ac:dyDescent="0.15">
      <c r="A153" s="192" t="s">
        <v>915</v>
      </c>
      <c r="B153" s="192" t="s">
        <v>821</v>
      </c>
      <c r="C153" s="192" t="s">
        <v>494</v>
      </c>
      <c r="D153" s="192" t="s">
        <v>588</v>
      </c>
      <c r="E153" s="192" t="s">
        <v>496</v>
      </c>
      <c r="F153" s="189">
        <f t="shared" si="5"/>
        <v>5.1666666666666661</v>
      </c>
      <c r="G153" s="193">
        <v>3.1</v>
      </c>
      <c r="H153" s="193">
        <v>2.8</v>
      </c>
      <c r="I153" s="193">
        <v>3.3</v>
      </c>
      <c r="J153" s="227">
        <f t="shared" si="6"/>
        <v>3.0666666666666664</v>
      </c>
    </row>
    <row r="154" spans="1:10" s="185" customFormat="1" ht="13" x14ac:dyDescent="0.15">
      <c r="A154" s="192" t="s">
        <v>916</v>
      </c>
      <c r="B154" s="192" t="s">
        <v>824</v>
      </c>
      <c r="C154" s="192" t="s">
        <v>497</v>
      </c>
      <c r="D154" s="192" t="s">
        <v>588</v>
      </c>
      <c r="E154" s="192" t="s">
        <v>496</v>
      </c>
      <c r="F154" s="189">
        <f t="shared" si="5"/>
        <v>5.1666666666666661</v>
      </c>
      <c r="G154" s="193">
        <v>3.1</v>
      </c>
      <c r="H154" s="193">
        <v>2.8</v>
      </c>
      <c r="I154" s="193">
        <v>3.3</v>
      </c>
      <c r="J154" s="227">
        <f t="shared" si="6"/>
        <v>3.0666666666666664</v>
      </c>
    </row>
    <row r="155" spans="1:10" s="185" customFormat="1" ht="13" x14ac:dyDescent="0.15">
      <c r="A155" s="192" t="s">
        <v>917</v>
      </c>
      <c r="B155" s="192" t="s">
        <v>824</v>
      </c>
      <c r="C155" s="192" t="s">
        <v>498</v>
      </c>
      <c r="D155" s="192" t="s">
        <v>588</v>
      </c>
      <c r="E155" s="192" t="s">
        <v>496</v>
      </c>
      <c r="F155" s="189">
        <f t="shared" si="5"/>
        <v>5.1666666666666661</v>
      </c>
      <c r="G155" s="193">
        <v>3.1</v>
      </c>
      <c r="H155" s="193">
        <v>2.8</v>
      </c>
      <c r="I155" s="193">
        <v>3.3</v>
      </c>
      <c r="J155" s="227">
        <f t="shared" si="6"/>
        <v>3.0666666666666664</v>
      </c>
    </row>
    <row r="156" spans="1:10" s="185" customFormat="1" ht="13" x14ac:dyDescent="0.15">
      <c r="A156" s="192" t="s">
        <v>499</v>
      </c>
      <c r="B156" s="192" t="s">
        <v>165</v>
      </c>
      <c r="C156" s="192" t="s">
        <v>500</v>
      </c>
      <c r="D156" s="192" t="s">
        <v>588</v>
      </c>
      <c r="E156" s="192" t="s">
        <v>496</v>
      </c>
      <c r="F156" s="189">
        <f t="shared" si="5"/>
        <v>5.1666666666666661</v>
      </c>
      <c r="G156" s="193">
        <v>3.1</v>
      </c>
      <c r="H156" s="193">
        <v>2.8</v>
      </c>
      <c r="I156" s="193">
        <v>3.3</v>
      </c>
      <c r="J156" s="227">
        <f t="shared" si="6"/>
        <v>3.0666666666666664</v>
      </c>
    </row>
    <row r="157" spans="1:10" s="185" customFormat="1" ht="13" x14ac:dyDescent="0.15">
      <c r="A157" s="192" t="s">
        <v>918</v>
      </c>
      <c r="B157" s="192" t="s">
        <v>158</v>
      </c>
      <c r="C157" s="192" t="s">
        <v>919</v>
      </c>
      <c r="D157" s="192" t="s">
        <v>588</v>
      </c>
      <c r="E157" s="192" t="s">
        <v>496</v>
      </c>
      <c r="F157" s="189">
        <f t="shared" si="5"/>
        <v>5.1666666666666661</v>
      </c>
      <c r="G157" s="193">
        <v>3.1</v>
      </c>
      <c r="H157" s="193">
        <v>2.8</v>
      </c>
      <c r="I157" s="193">
        <v>3.3</v>
      </c>
      <c r="J157" s="227">
        <f t="shared" si="6"/>
        <v>3.0666666666666664</v>
      </c>
    </row>
    <row r="158" spans="1:10" x14ac:dyDescent="0.2">
      <c r="A158" s="192" t="s">
        <v>501</v>
      </c>
      <c r="B158" s="192" t="s">
        <v>832</v>
      </c>
      <c r="C158" s="192" t="s">
        <v>502</v>
      </c>
      <c r="D158" s="192" t="s">
        <v>503</v>
      </c>
      <c r="E158" s="192" t="s">
        <v>504</v>
      </c>
      <c r="F158" s="189">
        <f t="shared" si="5"/>
        <v>4.8333333333333339</v>
      </c>
      <c r="G158" s="193">
        <v>3.2</v>
      </c>
      <c r="H158" s="193">
        <v>3.1</v>
      </c>
      <c r="I158" s="193">
        <v>2.5</v>
      </c>
      <c r="J158" s="227">
        <f t="shared" si="6"/>
        <v>2.9333333333333336</v>
      </c>
    </row>
    <row r="159" spans="1:10" x14ac:dyDescent="0.2">
      <c r="A159" s="192" t="s">
        <v>505</v>
      </c>
      <c r="B159" s="192" t="s">
        <v>824</v>
      </c>
      <c r="C159" s="192" t="s">
        <v>506</v>
      </c>
      <c r="D159" s="192" t="s">
        <v>503</v>
      </c>
      <c r="E159" s="192" t="s">
        <v>504</v>
      </c>
      <c r="F159" s="189">
        <f t="shared" si="5"/>
        <v>4.8333333333333339</v>
      </c>
      <c r="G159" s="193">
        <v>3.2</v>
      </c>
      <c r="H159" s="193">
        <v>3.1</v>
      </c>
      <c r="I159" s="193">
        <v>2.5</v>
      </c>
      <c r="J159" s="227">
        <f t="shared" si="6"/>
        <v>2.9333333333333336</v>
      </c>
    </row>
    <row r="160" spans="1:10" x14ac:dyDescent="0.2">
      <c r="A160" s="192" t="s">
        <v>507</v>
      </c>
      <c r="B160" s="192" t="s">
        <v>219</v>
      </c>
      <c r="C160" s="192" t="s">
        <v>508</v>
      </c>
      <c r="D160" s="192" t="s">
        <v>503</v>
      </c>
      <c r="E160" s="192" t="s">
        <v>504</v>
      </c>
      <c r="F160" s="189">
        <f t="shared" si="5"/>
        <v>4.8333333333333339</v>
      </c>
      <c r="G160" s="193">
        <v>3.2</v>
      </c>
      <c r="H160" s="193">
        <v>3.1</v>
      </c>
      <c r="I160" s="193">
        <v>2.5</v>
      </c>
      <c r="J160" s="227">
        <f t="shared" si="6"/>
        <v>2.9333333333333336</v>
      </c>
    </row>
    <row r="161" spans="1:10" x14ac:dyDescent="0.2">
      <c r="A161" s="192" t="s">
        <v>511</v>
      </c>
      <c r="B161" s="192" t="s">
        <v>824</v>
      </c>
      <c r="C161" s="192" t="s">
        <v>512</v>
      </c>
      <c r="D161" s="192" t="s">
        <v>509</v>
      </c>
      <c r="E161" s="192" t="s">
        <v>510</v>
      </c>
      <c r="F161" s="189">
        <f t="shared" si="5"/>
        <v>4.8333333333333339</v>
      </c>
      <c r="G161" s="193">
        <v>3.6</v>
      </c>
      <c r="H161" s="193">
        <v>2.8</v>
      </c>
      <c r="I161" s="193">
        <v>2.4</v>
      </c>
      <c r="J161" s="227">
        <f t="shared" si="6"/>
        <v>2.9333333333333336</v>
      </c>
    </row>
    <row r="162" spans="1:10" x14ac:dyDescent="0.2">
      <c r="A162" s="192" t="s">
        <v>920</v>
      </c>
      <c r="B162" s="192" t="s">
        <v>809</v>
      </c>
      <c r="C162" s="192" t="s">
        <v>513</v>
      </c>
      <c r="D162" s="192" t="s">
        <v>94</v>
      </c>
      <c r="E162" s="192" t="s">
        <v>95</v>
      </c>
      <c r="F162" s="189">
        <f t="shared" si="5"/>
        <v>4.666666666666667</v>
      </c>
      <c r="G162" s="193">
        <v>3.5</v>
      </c>
      <c r="H162" s="193">
        <v>3.2</v>
      </c>
      <c r="I162" s="193">
        <v>1.9</v>
      </c>
      <c r="J162" s="227">
        <f t="shared" si="6"/>
        <v>2.8666666666666667</v>
      </c>
    </row>
    <row r="163" spans="1:10" x14ac:dyDescent="0.2">
      <c r="A163" s="192" t="s">
        <v>514</v>
      </c>
      <c r="B163" s="192" t="s">
        <v>921</v>
      </c>
      <c r="C163" s="192" t="s">
        <v>515</v>
      </c>
      <c r="D163" s="192" t="s">
        <v>96</v>
      </c>
      <c r="E163" s="192" t="s">
        <v>97</v>
      </c>
      <c r="F163" s="189">
        <f t="shared" si="5"/>
        <v>8.4166666666666661</v>
      </c>
      <c r="G163" s="193">
        <v>4.2</v>
      </c>
      <c r="H163" s="193">
        <v>4.8</v>
      </c>
      <c r="I163" s="193">
        <v>4.0999999999999996</v>
      </c>
      <c r="J163" s="227">
        <f t="shared" si="6"/>
        <v>4.3666666666666663</v>
      </c>
    </row>
    <row r="164" spans="1:10" x14ac:dyDescent="0.2">
      <c r="A164" s="192" t="s">
        <v>516</v>
      </c>
      <c r="B164" s="192" t="s">
        <v>165</v>
      </c>
      <c r="C164" s="192" t="s">
        <v>517</v>
      </c>
      <c r="D164" s="192" t="s">
        <v>51</v>
      </c>
      <c r="E164" s="192" t="s">
        <v>52</v>
      </c>
      <c r="F164" s="189">
        <f t="shared" si="5"/>
        <v>8.3333333333333321</v>
      </c>
      <c r="G164" s="193">
        <v>4.3</v>
      </c>
      <c r="H164" s="193">
        <v>4.3</v>
      </c>
      <c r="I164" s="193">
        <v>4.4000000000000004</v>
      </c>
      <c r="J164" s="227">
        <f t="shared" si="6"/>
        <v>4.333333333333333</v>
      </c>
    </row>
    <row r="165" spans="1:10" x14ac:dyDescent="0.2">
      <c r="A165" s="192" t="s">
        <v>518</v>
      </c>
      <c r="B165" s="192" t="s">
        <v>824</v>
      </c>
      <c r="C165" s="192" t="s">
        <v>519</v>
      </c>
      <c r="D165" s="192" t="s">
        <v>51</v>
      </c>
      <c r="E165" s="192" t="s">
        <v>52</v>
      </c>
      <c r="F165" s="189">
        <f t="shared" si="5"/>
        <v>8.3333333333333321</v>
      </c>
      <c r="G165" s="193">
        <v>4.3</v>
      </c>
      <c r="H165" s="193">
        <v>4.3</v>
      </c>
      <c r="I165" s="193">
        <v>4.4000000000000004</v>
      </c>
      <c r="J165" s="227">
        <f t="shared" si="6"/>
        <v>4.333333333333333</v>
      </c>
    </row>
    <row r="166" spans="1:10" x14ac:dyDescent="0.2">
      <c r="A166" s="192" t="s">
        <v>520</v>
      </c>
      <c r="B166" s="192" t="s">
        <v>219</v>
      </c>
      <c r="C166" s="192" t="s">
        <v>521</v>
      </c>
      <c r="D166" s="192" t="s">
        <v>522</v>
      </c>
      <c r="E166" s="192" t="s">
        <v>523</v>
      </c>
      <c r="F166" s="189">
        <f t="shared" si="5"/>
        <v>5.1666666666666661</v>
      </c>
      <c r="G166" s="193">
        <v>3.3</v>
      </c>
      <c r="H166" s="193">
        <v>3</v>
      </c>
      <c r="I166" s="193">
        <v>2.9</v>
      </c>
      <c r="J166" s="227">
        <f t="shared" si="6"/>
        <v>3.0666666666666664</v>
      </c>
    </row>
    <row r="167" spans="1:10" x14ac:dyDescent="0.2">
      <c r="A167" s="192" t="s">
        <v>524</v>
      </c>
      <c r="B167" s="192" t="s">
        <v>922</v>
      </c>
      <c r="C167" s="192" t="s">
        <v>525</v>
      </c>
      <c r="D167" s="192" t="s">
        <v>526</v>
      </c>
      <c r="E167" s="192" t="s">
        <v>527</v>
      </c>
      <c r="F167" s="189">
        <f t="shared" si="5"/>
        <v>6.6666666666666661</v>
      </c>
      <c r="G167" s="193">
        <v>3.8</v>
      </c>
      <c r="H167" s="193">
        <v>3.8</v>
      </c>
      <c r="I167" s="193">
        <v>3.4</v>
      </c>
      <c r="J167" s="227">
        <f t="shared" si="6"/>
        <v>3.6666666666666665</v>
      </c>
    </row>
    <row r="168" spans="1:10" x14ac:dyDescent="0.2">
      <c r="A168" s="270"/>
      <c r="B168" s="270"/>
      <c r="C168" s="118"/>
      <c r="D168" s="118"/>
      <c r="E168" s="118"/>
      <c r="F168" s="190"/>
    </row>
    <row r="169" spans="1:10" x14ac:dyDescent="0.2">
      <c r="A169" s="270"/>
      <c r="B169" s="270"/>
      <c r="C169" s="118"/>
      <c r="D169" s="118"/>
      <c r="E169" s="118"/>
      <c r="F169" s="190"/>
    </row>
    <row r="170" spans="1:10" x14ac:dyDescent="0.2">
      <c r="A170" s="270"/>
      <c r="B170" s="270"/>
      <c r="C170" s="118"/>
      <c r="D170" s="118"/>
      <c r="E170" s="118"/>
      <c r="F170" s="190"/>
    </row>
    <row r="171" spans="1:10" x14ac:dyDescent="0.2">
      <c r="A171" s="270"/>
      <c r="B171" s="270"/>
      <c r="C171" s="118"/>
      <c r="D171" s="118"/>
      <c r="E171" s="118"/>
      <c r="F171" s="190"/>
    </row>
    <row r="172" spans="1:10" x14ac:dyDescent="0.2">
      <c r="A172" s="270"/>
      <c r="B172" s="270"/>
      <c r="C172" s="118"/>
      <c r="D172" s="118"/>
      <c r="E172" s="118"/>
      <c r="F172" s="190"/>
    </row>
    <row r="173" spans="1:10" x14ac:dyDescent="0.2">
      <c r="A173" s="270"/>
      <c r="B173" s="270"/>
      <c r="C173" s="118"/>
      <c r="D173" s="118"/>
      <c r="E173" s="118"/>
      <c r="F173" s="190"/>
    </row>
    <row r="174" spans="1:10" x14ac:dyDescent="0.2">
      <c r="A174" s="270"/>
      <c r="B174" s="270"/>
      <c r="C174" s="118"/>
      <c r="D174" s="118"/>
      <c r="E174" s="118"/>
      <c r="F174" s="190"/>
    </row>
    <row r="175" spans="1:10" x14ac:dyDescent="0.2">
      <c r="A175" s="270"/>
      <c r="B175" s="270"/>
      <c r="C175" s="118"/>
      <c r="D175" s="118"/>
      <c r="E175" s="118"/>
      <c r="F175" s="190"/>
    </row>
    <row r="176" spans="1:10" x14ac:dyDescent="0.2">
      <c r="A176" s="270"/>
      <c r="B176" s="270"/>
      <c r="C176" s="118"/>
      <c r="D176" s="118"/>
      <c r="E176" s="118"/>
      <c r="F176" s="190"/>
    </row>
    <row r="177" spans="1:6" x14ac:dyDescent="0.2">
      <c r="A177" s="270"/>
      <c r="B177" s="270"/>
      <c r="C177" s="118"/>
      <c r="D177" s="118"/>
      <c r="E177" s="118"/>
      <c r="F177" s="190"/>
    </row>
    <row r="178" spans="1:6" x14ac:dyDescent="0.2">
      <c r="A178" s="270"/>
      <c r="B178" s="270"/>
      <c r="C178" s="118"/>
      <c r="D178" s="118"/>
      <c r="E178" s="118"/>
      <c r="F178" s="190"/>
    </row>
    <row r="179" spans="1:6" x14ac:dyDescent="0.2">
      <c r="A179" s="270"/>
      <c r="B179" s="270"/>
      <c r="C179" s="118"/>
      <c r="D179" s="118"/>
      <c r="E179" s="118"/>
      <c r="F179" s="190"/>
    </row>
    <row r="180" spans="1:6" x14ac:dyDescent="0.2">
      <c r="A180" s="270"/>
      <c r="B180" s="270"/>
      <c r="C180" s="118"/>
      <c r="D180" s="118"/>
      <c r="E180" s="118"/>
      <c r="F180" s="190"/>
    </row>
    <row r="181" spans="1:6" x14ac:dyDescent="0.2">
      <c r="A181" s="270"/>
      <c r="B181" s="270"/>
      <c r="C181" s="118"/>
      <c r="D181" s="118"/>
      <c r="E181" s="118"/>
      <c r="F181" s="190"/>
    </row>
    <row r="182" spans="1:6" x14ac:dyDescent="0.2">
      <c r="A182" s="270"/>
      <c r="B182" s="270"/>
      <c r="C182" s="118"/>
      <c r="D182" s="118"/>
      <c r="E182" s="118"/>
      <c r="F182" s="190"/>
    </row>
    <row r="183" spans="1:6" x14ac:dyDescent="0.2">
      <c r="A183" s="270"/>
      <c r="B183" s="270"/>
      <c r="C183" s="118"/>
      <c r="D183" s="118"/>
      <c r="E183" s="118"/>
      <c r="F183" s="190"/>
    </row>
    <row r="184" spans="1:6" x14ac:dyDescent="0.2">
      <c r="A184" s="270"/>
      <c r="B184" s="270"/>
      <c r="C184" s="118"/>
      <c r="D184" s="118"/>
      <c r="E184" s="118"/>
      <c r="F184" s="190"/>
    </row>
    <row r="185" spans="1:6" x14ac:dyDescent="0.2">
      <c r="A185" s="270"/>
      <c r="B185" s="270"/>
      <c r="C185" s="118"/>
      <c r="D185" s="118"/>
      <c r="E185" s="118"/>
      <c r="F185" s="190"/>
    </row>
    <row r="186" spans="1:6" x14ac:dyDescent="0.2">
      <c r="A186" s="270"/>
      <c r="B186" s="270"/>
      <c r="C186" s="118"/>
      <c r="D186" s="118"/>
      <c r="E186" s="118"/>
      <c r="F186" s="190"/>
    </row>
    <row r="187" spans="1:6" x14ac:dyDescent="0.2">
      <c r="A187" s="270"/>
      <c r="B187" s="270"/>
      <c r="C187" s="118"/>
      <c r="D187" s="118"/>
      <c r="E187" s="118"/>
      <c r="F187" s="190"/>
    </row>
    <row r="188" spans="1:6" x14ac:dyDescent="0.2">
      <c r="A188" s="270"/>
      <c r="B188" s="270"/>
      <c r="C188" s="118"/>
      <c r="D188" s="118"/>
      <c r="E188" s="118"/>
      <c r="F188" s="190"/>
    </row>
    <row r="189" spans="1:6" x14ac:dyDescent="0.2">
      <c r="A189" s="270"/>
      <c r="B189" s="270"/>
      <c r="C189" s="118"/>
      <c r="D189" s="118"/>
      <c r="E189" s="118"/>
      <c r="F189" s="190"/>
    </row>
    <row r="190" spans="1:6" x14ac:dyDescent="0.2">
      <c r="A190" s="270"/>
      <c r="B190" s="270"/>
      <c r="C190" s="118"/>
      <c r="D190" s="118"/>
      <c r="E190" s="118"/>
      <c r="F190" s="190"/>
    </row>
    <row r="191" spans="1:6" x14ac:dyDescent="0.2">
      <c r="A191" s="270"/>
      <c r="B191" s="270"/>
      <c r="C191" s="118"/>
      <c r="D191" s="118"/>
      <c r="E191" s="118"/>
      <c r="F191" s="190"/>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1327-DEBF-43C5-8774-828EE918BC48}">
  <sheetPr>
    <tabColor rgb="FFFCE4D6"/>
  </sheetPr>
  <dimension ref="A1:M46"/>
  <sheetViews>
    <sheetView showGridLines="0" workbookViewId="0">
      <selection activeCell="C22" sqref="C22"/>
    </sheetView>
  </sheetViews>
  <sheetFormatPr baseColWidth="10" defaultColWidth="9" defaultRowHeight="16" x14ac:dyDescent="0.2"/>
  <cols>
    <col min="1" max="1" width="11.6640625" style="17" bestFit="1" customWidth="1"/>
    <col min="2" max="2" width="5.5" style="17" bestFit="1" customWidth="1"/>
    <col min="3" max="3" width="5.5" style="17" customWidth="1"/>
    <col min="4" max="4" width="6.83203125" style="54" bestFit="1" customWidth="1"/>
    <col min="5" max="5" width="6.6640625" style="17" bestFit="1" customWidth="1"/>
    <col min="6" max="6" width="6.6640625" style="27" customWidth="1"/>
    <col min="7" max="7" width="9" style="17"/>
    <col min="8" max="8" width="9" style="17" customWidth="1"/>
    <col min="9" max="9" width="6.6640625" style="27" customWidth="1"/>
    <col min="10" max="10" width="8.1640625" style="27" bestFit="1" customWidth="1"/>
    <col min="11" max="11" width="8" style="27" bestFit="1" customWidth="1"/>
    <col min="12" max="12" width="8.6640625" style="27" bestFit="1" customWidth="1"/>
    <col min="13" max="13" width="9" style="27"/>
    <col min="14" max="16384" width="9" style="17"/>
  </cols>
  <sheetData>
    <row r="1" spans="1:13" ht="193" x14ac:dyDescent="0.2">
      <c r="A1" s="181"/>
      <c r="B1" s="181"/>
      <c r="C1" s="181"/>
      <c r="D1" s="319" t="s">
        <v>528</v>
      </c>
      <c r="E1" s="319"/>
      <c r="F1" s="267"/>
      <c r="G1" s="319" t="s">
        <v>529</v>
      </c>
      <c r="H1" s="319"/>
      <c r="I1" s="267"/>
      <c r="J1" s="319" t="s">
        <v>530</v>
      </c>
      <c r="K1" s="319"/>
      <c r="L1" s="267"/>
      <c r="M1" s="55"/>
    </row>
    <row r="2" spans="1:13" s="51" customFormat="1" ht="11" x14ac:dyDescent="0.15">
      <c r="A2" s="61" t="s">
        <v>122</v>
      </c>
      <c r="B2" s="61" t="s">
        <v>121</v>
      </c>
      <c r="C2" s="23"/>
      <c r="D2" s="63"/>
      <c r="E2" s="175">
        <v>0</v>
      </c>
      <c r="F2" s="175"/>
      <c r="G2" s="175" t="s">
        <v>122</v>
      </c>
      <c r="H2" s="175">
        <v>0</v>
      </c>
      <c r="I2" s="64"/>
      <c r="J2" s="62" t="s">
        <v>122</v>
      </c>
      <c r="K2" s="175">
        <v>0</v>
      </c>
      <c r="L2" s="62" t="s">
        <v>122</v>
      </c>
    </row>
    <row r="3" spans="1:13" s="51" customFormat="1" ht="11" x14ac:dyDescent="0.15">
      <c r="A3" s="61" t="s">
        <v>122</v>
      </c>
      <c r="B3" s="61" t="s">
        <v>123</v>
      </c>
      <c r="C3" s="23"/>
      <c r="D3" s="63"/>
      <c r="E3" s="175">
        <v>75</v>
      </c>
      <c r="F3" s="175"/>
      <c r="G3" s="175" t="s">
        <v>122</v>
      </c>
      <c r="H3" s="175">
        <v>25</v>
      </c>
      <c r="I3" s="64"/>
      <c r="J3" s="62" t="s">
        <v>122</v>
      </c>
      <c r="K3" s="175">
        <v>50</v>
      </c>
      <c r="L3" s="62" t="s">
        <v>122</v>
      </c>
    </row>
    <row r="4" spans="1:13" s="50" customFormat="1" x14ac:dyDescent="0.2">
      <c r="A4" s="65" t="s">
        <v>124</v>
      </c>
      <c r="B4" s="65" t="s">
        <v>47</v>
      </c>
      <c r="C4" s="68" t="s">
        <v>125</v>
      </c>
      <c r="D4" s="70" t="s">
        <v>126</v>
      </c>
      <c r="E4" s="71" t="s">
        <v>128</v>
      </c>
      <c r="F4" s="72" t="s">
        <v>155</v>
      </c>
      <c r="G4" s="71" t="s">
        <v>126</v>
      </c>
      <c r="H4" s="71" t="s">
        <v>128</v>
      </c>
      <c r="I4" s="72" t="s">
        <v>155</v>
      </c>
      <c r="J4" s="71" t="s">
        <v>126</v>
      </c>
      <c r="K4" s="71" t="s">
        <v>128</v>
      </c>
      <c r="L4" s="72" t="s">
        <v>155</v>
      </c>
    </row>
    <row r="5" spans="1:13" x14ac:dyDescent="0.2">
      <c r="A5" s="181" t="s">
        <v>48</v>
      </c>
      <c r="B5" s="181" t="s">
        <v>50</v>
      </c>
      <c r="C5" s="49">
        <f t="shared" ref="C5:C34" si="0">AVERAGE(F5,I5,L5)</f>
        <v>7.9244444444444442</v>
      </c>
      <c r="D5" s="53">
        <f>VLOOKUP($B5,'World Bank'!$C:$J,8,FALSE)</f>
        <v>2017</v>
      </c>
      <c r="E5" s="351">
        <f>VLOOKUP($B5,'World Bank'!$C:$J,7,FALSE)</f>
        <v>28.3</v>
      </c>
      <c r="F5" s="60">
        <f>IF((E5/(E$3))*10&gt;10,10,(E5/(E$3))*10)</f>
        <v>3.7733333333333334</v>
      </c>
      <c r="G5" s="42">
        <f>VLOOKUP($B5,'World Bank'!$C:$N,12,FALSE)</f>
        <v>2015</v>
      </c>
      <c r="H5" s="44">
        <f>VLOOKUP($B5,'World Bank'!$C:$N,11,FALSE)</f>
        <v>45.8</v>
      </c>
      <c r="I5" s="60">
        <f>IF((H5/(H$3))*10&gt;10,10,(H5/(H$3))*10)</f>
        <v>10</v>
      </c>
      <c r="J5" s="42">
        <f>VLOOKUP($B5,'World Bank'!$C:$N,10,FALSE)</f>
        <v>2015</v>
      </c>
      <c r="K5" s="44">
        <f>VLOOKUP($B5,'World Bank'!$C:$N,9,FALSE)</f>
        <v>50.5</v>
      </c>
      <c r="L5" s="60">
        <f>IF((K5/(K$3))*10&gt;10,10,(K5/(K$3))*10)</f>
        <v>10</v>
      </c>
    </row>
    <row r="6" spans="1:13" x14ac:dyDescent="0.2">
      <c r="A6" s="181" t="s">
        <v>133</v>
      </c>
      <c r="B6" s="181" t="s">
        <v>134</v>
      </c>
      <c r="C6" s="49">
        <f t="shared" si="0"/>
        <v>8.7111111111111104</v>
      </c>
      <c r="D6" s="53">
        <f>VLOOKUP($B6,'World Bank'!$C:$J,8,FALSE)</f>
        <v>2019</v>
      </c>
      <c r="E6" s="351">
        <f>VLOOKUP($B6,'World Bank'!$C:$J,7,FALSE)</f>
        <v>51.4</v>
      </c>
      <c r="F6" s="60">
        <f t="shared" ref="F6:F38" si="1">IF((E6/(E$3))*10&gt;10,10,(E6/(E$3))*10)</f>
        <v>6.8533333333333335</v>
      </c>
      <c r="G6" s="356">
        <v>2018</v>
      </c>
      <c r="H6" s="357">
        <v>23.2</v>
      </c>
      <c r="I6" s="60">
        <f t="shared" ref="I6:I37" si="2">IF((H6/(H$3))*10&gt;10,10,(H6/(H$3))*10)</f>
        <v>9.2799999999999994</v>
      </c>
      <c r="J6" s="356">
        <v>2015</v>
      </c>
      <c r="K6" s="360">
        <v>54.2</v>
      </c>
      <c r="L6" s="60">
        <f t="shared" ref="L6:L33" si="3">IF((K6/(K$3))*10&gt;10,10,(K6/(K$3))*10)</f>
        <v>10</v>
      </c>
    </row>
    <row r="7" spans="1:13" x14ac:dyDescent="0.2">
      <c r="A7" s="181" t="s">
        <v>98</v>
      </c>
      <c r="B7" s="181" t="s">
        <v>99</v>
      </c>
      <c r="C7" s="49">
        <f t="shared" si="0"/>
        <v>4.2200000000000006</v>
      </c>
      <c r="D7" s="53">
        <f>VLOOKUP($B7,'World Bank'!$C:$J,8,FALSE)</f>
        <v>2010</v>
      </c>
      <c r="E7" s="351">
        <f>VLOOKUP($B7,'World Bank'!$C:$J,7,FALSE)</f>
        <v>51.6</v>
      </c>
      <c r="F7" s="60">
        <f t="shared" si="1"/>
        <v>6.8800000000000008</v>
      </c>
      <c r="G7" s="42">
        <f>VLOOKUP($B7,'World Bank'!$C:$N,12,FALSE)</f>
        <v>2010</v>
      </c>
      <c r="H7" s="44">
        <f>VLOOKUP($B7,'World Bank'!$C:$N,11,FALSE)</f>
        <v>8.9</v>
      </c>
      <c r="I7" s="60">
        <f t="shared" si="2"/>
        <v>3.5600000000000005</v>
      </c>
      <c r="J7" s="42">
        <f>VLOOKUP($B7,'World Bank'!$C:$N,10,FALSE)</f>
        <v>2010</v>
      </c>
      <c r="K7" s="44">
        <f>VLOOKUP($B7,'World Bank'!$C:$N,9,FALSE)</f>
        <v>11.1</v>
      </c>
      <c r="L7" s="60">
        <f t="shared" si="3"/>
        <v>2.2200000000000002</v>
      </c>
    </row>
    <row r="8" spans="1:13" x14ac:dyDescent="0.2">
      <c r="A8" s="181" t="s">
        <v>88</v>
      </c>
      <c r="B8" s="181" t="s">
        <v>89</v>
      </c>
      <c r="C8" s="49">
        <f t="shared" si="0"/>
        <v>5.9577777777777783</v>
      </c>
      <c r="D8" s="53">
        <f>VLOOKUP($B8,'World Bank'!$C:$J,8,FALSE)</f>
        <v>2017</v>
      </c>
      <c r="E8" s="351">
        <f>VLOOKUP($B8,'World Bank'!$C:$J,7,FALSE)</f>
        <v>19</v>
      </c>
      <c r="F8" s="60">
        <f t="shared" si="1"/>
        <v>2.5333333333333337</v>
      </c>
      <c r="G8" s="42">
        <f>VLOOKUP($B8,'World Bank'!$C:$N,12,FALSE)</f>
        <v>2017</v>
      </c>
      <c r="H8" s="44">
        <f>VLOOKUP($B8,'World Bank'!$C:$N,11,FALSE)</f>
        <v>18.5</v>
      </c>
      <c r="I8" s="60">
        <f t="shared" si="2"/>
        <v>7.4</v>
      </c>
      <c r="J8" s="42">
        <f>VLOOKUP($B8,'World Bank'!$C:$N,10,FALSE)</f>
        <v>2017</v>
      </c>
      <c r="K8" s="44">
        <f>VLOOKUP($B8,'World Bank'!$C:$N,9,FALSE)</f>
        <v>39.700000000000003</v>
      </c>
      <c r="L8" s="60">
        <f t="shared" si="3"/>
        <v>7.94</v>
      </c>
    </row>
    <row r="9" spans="1:13" x14ac:dyDescent="0.2">
      <c r="A9" s="181" t="s">
        <v>92</v>
      </c>
      <c r="B9" s="181" t="s">
        <v>93</v>
      </c>
      <c r="C9" s="49">
        <f t="shared" si="0"/>
        <v>6.5911111111111111</v>
      </c>
      <c r="D9" s="53">
        <f>VLOOKUP($B9,'World Bank'!$C:$J,8,FALSE)</f>
        <v>2018</v>
      </c>
      <c r="E9" s="351">
        <f>VLOOKUP($B9,'World Bank'!$C:$J,7,FALSE)</f>
        <v>29.8</v>
      </c>
      <c r="F9" s="60">
        <f t="shared" si="1"/>
        <v>3.9733333333333332</v>
      </c>
      <c r="G9" s="42">
        <f>VLOOKUP($B9,'World Bank'!$C:$N,12,FALSE)</f>
        <v>2018</v>
      </c>
      <c r="H9" s="44">
        <f>VLOOKUP($B9,'World Bank'!$C:$N,11,FALSE)</f>
        <v>22.4</v>
      </c>
      <c r="I9" s="60">
        <f t="shared" si="2"/>
        <v>8.9599999999999991</v>
      </c>
      <c r="J9" s="42">
        <f>VLOOKUP($B9,'World Bank'!$C:$N,10,FALSE)</f>
        <v>2018</v>
      </c>
      <c r="K9" s="44">
        <f>VLOOKUP($B9,'World Bank'!$C:$N,9,FALSE)</f>
        <v>34.200000000000003</v>
      </c>
      <c r="L9" s="60">
        <f t="shared" si="3"/>
        <v>6.8400000000000007</v>
      </c>
    </row>
    <row r="10" spans="1:13" x14ac:dyDescent="0.2">
      <c r="A10" s="181" t="s">
        <v>75</v>
      </c>
      <c r="B10" s="181" t="s">
        <v>76</v>
      </c>
      <c r="C10" s="49">
        <f t="shared" si="0"/>
        <v>7.4844444444444447</v>
      </c>
      <c r="D10" s="53">
        <f>VLOOKUP($B10,'World Bank'!$C:$J,8,FALSE)</f>
        <v>2019</v>
      </c>
      <c r="E10" s="351">
        <f>VLOOKUP($B10,'World Bank'!$C:$J,7,FALSE)</f>
        <v>61</v>
      </c>
      <c r="F10" s="60">
        <f t="shared" si="1"/>
        <v>8.1333333333333329</v>
      </c>
      <c r="G10" s="356">
        <v>2018</v>
      </c>
      <c r="H10" s="357">
        <v>20.9</v>
      </c>
      <c r="I10" s="60">
        <f t="shared" si="2"/>
        <v>8.36</v>
      </c>
      <c r="J10" s="356">
        <v>2014</v>
      </c>
      <c r="K10" s="360">
        <v>29.8</v>
      </c>
      <c r="L10" s="60">
        <f t="shared" si="3"/>
        <v>5.96</v>
      </c>
    </row>
    <row r="11" spans="1:13" x14ac:dyDescent="0.2">
      <c r="A11" s="181" t="s">
        <v>67</v>
      </c>
      <c r="B11" s="181" t="s">
        <v>68</v>
      </c>
      <c r="C11" s="49">
        <f t="shared" si="0"/>
        <v>6.6266666666666678</v>
      </c>
      <c r="D11" s="53">
        <f>VLOOKUP($B11,'World Bank'!$C:$J,8,FALSE)</f>
        <v>2019</v>
      </c>
      <c r="E11" s="351">
        <f>VLOOKUP($B11,'World Bank'!$C:$J,7,FALSE)</f>
        <v>60.6</v>
      </c>
      <c r="F11" s="60">
        <f t="shared" si="1"/>
        <v>8.08</v>
      </c>
      <c r="G11" s="42">
        <f>VLOOKUP($B11,'World Bank'!$C:$N,12,FALSE)</f>
        <v>2015</v>
      </c>
      <c r="H11" s="44">
        <f>VLOOKUP($B11,'World Bank'!$C:$N,11,FALSE)</f>
        <v>16.3</v>
      </c>
      <c r="I11" s="60">
        <f t="shared" si="2"/>
        <v>6.5200000000000005</v>
      </c>
      <c r="J11" s="42">
        <f>VLOOKUP($B11,'World Bank'!$C:$N,10,FALSE)</f>
        <v>2015</v>
      </c>
      <c r="K11" s="44">
        <f>VLOOKUP($B11,'World Bank'!$C:$N,9,FALSE)</f>
        <v>26.4</v>
      </c>
      <c r="L11" s="60">
        <f t="shared" si="3"/>
        <v>5.28</v>
      </c>
    </row>
    <row r="12" spans="1:13" x14ac:dyDescent="0.2">
      <c r="A12" s="181" t="s">
        <v>104</v>
      </c>
      <c r="B12" s="181" t="s">
        <v>105</v>
      </c>
      <c r="C12" s="49">
        <f t="shared" si="0"/>
        <v>6.8066666666666675</v>
      </c>
      <c r="D12" s="53">
        <f>VLOOKUP($B12,'World Bank'!$C:$J,8,FALSE)</f>
        <v>2015</v>
      </c>
      <c r="E12" s="351">
        <f>VLOOKUP($B12,'World Bank'!$C:$J,7,FALSE)</f>
        <v>23.4</v>
      </c>
      <c r="F12" s="60">
        <f t="shared" si="1"/>
        <v>3.12</v>
      </c>
      <c r="G12" s="42">
        <f>VLOOKUP($B12,'World Bank'!$C:$N,12,FALSE)</f>
        <v>2020</v>
      </c>
      <c r="H12" s="44">
        <f>VLOOKUP($B12,'World Bank'!$C:$N,11,FALSE)</f>
        <v>36.5</v>
      </c>
      <c r="I12" s="60">
        <f t="shared" si="2"/>
        <v>10</v>
      </c>
      <c r="J12" s="42">
        <f>VLOOKUP($B12,'World Bank'!$C:$N,10,FALSE)</f>
        <v>2020</v>
      </c>
      <c r="K12" s="44">
        <f>VLOOKUP($B12,'World Bank'!$C:$N,9,FALSE)</f>
        <v>36.5</v>
      </c>
      <c r="L12" s="60">
        <f t="shared" si="3"/>
        <v>7.3</v>
      </c>
    </row>
    <row r="13" spans="1:13" x14ac:dyDescent="0.2">
      <c r="A13" s="181" t="s">
        <v>63</v>
      </c>
      <c r="B13" s="181" t="s">
        <v>64</v>
      </c>
      <c r="C13" s="49">
        <f t="shared" si="0"/>
        <v>7.6866666666666665</v>
      </c>
      <c r="D13" s="53">
        <f>VLOOKUP($B13,'World Bank'!$C:$J,8,FALSE)</f>
        <v>2018</v>
      </c>
      <c r="E13" s="351">
        <f>VLOOKUP($B13,'World Bank'!$C:$J,7,FALSE)</f>
        <v>29.1</v>
      </c>
      <c r="F13" s="60">
        <f>IF((E13/(E$3))*10&gt;10,10,(E13/(E$3))*10)</f>
        <v>3.88</v>
      </c>
      <c r="G13" s="42">
        <f>VLOOKUP($B13,'World Bank'!$C:$N,12,FALSE)</f>
        <v>2014</v>
      </c>
      <c r="H13" s="44">
        <f>VLOOKUP($B13,'World Bank'!$C:$N,11,FALSE)</f>
        <v>30.3</v>
      </c>
      <c r="I13" s="60">
        <f t="shared" si="2"/>
        <v>10</v>
      </c>
      <c r="J13" s="42">
        <f>VLOOKUP($B13,'World Bank'!$C:$N,10,FALSE)</f>
        <v>2014</v>
      </c>
      <c r="K13" s="44">
        <f>VLOOKUP($B13,'World Bank'!$C:$N,9,FALSE)</f>
        <v>45.9</v>
      </c>
      <c r="L13" s="60">
        <f t="shared" si="3"/>
        <v>9.18</v>
      </c>
    </row>
    <row r="14" spans="1:13" x14ac:dyDescent="0.2">
      <c r="A14" s="181" t="s">
        <v>114</v>
      </c>
      <c r="B14" s="181" t="s">
        <v>115</v>
      </c>
      <c r="C14" s="49">
        <f t="shared" si="0"/>
        <v>2.8466666666666671</v>
      </c>
      <c r="D14" s="53">
        <f>VLOOKUP($B14,'World Bank'!$C:$J,8,FALSE)</f>
        <v>2014</v>
      </c>
      <c r="E14" s="351">
        <f>VLOOKUP($B14,'World Bank'!$C:$J,7,FALSE)</f>
        <v>25.5</v>
      </c>
      <c r="F14" s="60">
        <f t="shared" si="1"/>
        <v>3.4000000000000004</v>
      </c>
      <c r="G14" s="356">
        <v>2018</v>
      </c>
      <c r="H14" s="357">
        <v>5.7</v>
      </c>
      <c r="I14" s="60">
        <f t="shared" si="2"/>
        <v>2.2800000000000002</v>
      </c>
      <c r="J14" s="356">
        <v>2017</v>
      </c>
      <c r="K14" s="360">
        <v>14.3</v>
      </c>
      <c r="L14" s="60">
        <f t="shared" si="3"/>
        <v>2.8600000000000003</v>
      </c>
    </row>
    <row r="15" spans="1:13" x14ac:dyDescent="0.2">
      <c r="A15" s="181" t="s">
        <v>61</v>
      </c>
      <c r="B15" s="181" t="s">
        <v>62</v>
      </c>
      <c r="C15" s="49">
        <f t="shared" si="0"/>
        <v>6.0844444444444443</v>
      </c>
      <c r="D15" s="53">
        <f>VLOOKUP($B15,'World Bank'!$C:$J,8,FALSE)</f>
        <v>2016</v>
      </c>
      <c r="E15" s="351">
        <f>VLOOKUP($B15,'World Bank'!$C:$J,7,FALSE)</f>
        <v>40.299999999999997</v>
      </c>
      <c r="F15" s="60">
        <f t="shared" si="1"/>
        <v>5.3733333333333331</v>
      </c>
      <c r="G15" s="42">
        <f>VLOOKUP($B15,'World Bank'!$C:$N,12,FALSE)</f>
        <v>2016</v>
      </c>
      <c r="H15" s="44">
        <f>VLOOKUP($B15,'World Bank'!$C:$N,11,FALSE)</f>
        <v>20.2</v>
      </c>
      <c r="I15" s="60">
        <f t="shared" si="2"/>
        <v>8.08</v>
      </c>
      <c r="J15" s="42">
        <f>VLOOKUP($B15,'World Bank'!$C:$N,10,FALSE)</f>
        <v>2016</v>
      </c>
      <c r="K15" s="44">
        <f>VLOOKUP($B15,'World Bank'!$C:$N,9,FALSE)</f>
        <v>24</v>
      </c>
      <c r="L15" s="60">
        <f t="shared" si="3"/>
        <v>4.8</v>
      </c>
    </row>
    <row r="16" spans="1:13" x14ac:dyDescent="0.2">
      <c r="A16" s="181" t="s">
        <v>102</v>
      </c>
      <c r="B16" s="181" t="s">
        <v>103</v>
      </c>
      <c r="C16" s="49">
        <f t="shared" si="0"/>
        <v>4.8111111111111109</v>
      </c>
      <c r="D16" s="53">
        <f>VLOOKUP($B16,'World Bank'!$C:$J,8,FALSE)</f>
        <v>2015</v>
      </c>
      <c r="E16" s="351">
        <f>VLOOKUP($B16,'World Bank'!$C:$J,7,FALSE)</f>
        <v>29.5</v>
      </c>
      <c r="F16" s="60">
        <f t="shared" si="1"/>
        <v>3.9333333333333331</v>
      </c>
      <c r="G16" s="42">
        <f>VLOOKUP($B16,'World Bank'!$C:$N,12,FALSE)</f>
        <v>2015</v>
      </c>
      <c r="H16" s="44">
        <f>VLOOKUP($B16,'World Bank'!$C:$N,11,FALSE)</f>
        <v>14.4</v>
      </c>
      <c r="I16" s="60">
        <f t="shared" si="2"/>
        <v>5.7600000000000007</v>
      </c>
      <c r="J16" s="42">
        <f>VLOOKUP($B16,'World Bank'!$C:$N,10,FALSE)</f>
        <v>2015</v>
      </c>
      <c r="K16" s="44">
        <f>VLOOKUP($B16,'World Bank'!$C:$N,9,FALSE)</f>
        <v>23.7</v>
      </c>
      <c r="L16" s="60">
        <f t="shared" si="3"/>
        <v>4.74</v>
      </c>
    </row>
    <row r="17" spans="1:12" x14ac:dyDescent="0.2">
      <c r="A17" s="181" t="s">
        <v>71</v>
      </c>
      <c r="B17" s="181" t="s">
        <v>72</v>
      </c>
      <c r="C17" s="49">
        <f t="shared" si="0"/>
        <v>4.7888888888888888</v>
      </c>
      <c r="D17" s="53">
        <f>VLOOKUP($B17,'World Bank'!$C:$J,8,FALSE)</f>
        <v>2017</v>
      </c>
      <c r="E17" s="351">
        <f>VLOOKUP($B17,'World Bank'!$C:$J,7,FALSE)</f>
        <v>14.9</v>
      </c>
      <c r="F17" s="60">
        <f t="shared" si="1"/>
        <v>1.9866666666666666</v>
      </c>
      <c r="G17" s="42">
        <f>VLOOKUP($B17,'World Bank'!$C:$N,12,FALSE)</f>
        <v>2017</v>
      </c>
      <c r="H17" s="44">
        <f>VLOOKUP($B17,'World Bank'!$C:$N,11,FALSE)</f>
        <v>17.8</v>
      </c>
      <c r="I17" s="60">
        <f t="shared" si="2"/>
        <v>7.120000000000001</v>
      </c>
      <c r="J17" s="42">
        <f>VLOOKUP($B17,'World Bank'!$C:$N,10,FALSE)</f>
        <v>2017</v>
      </c>
      <c r="K17" s="44">
        <f>VLOOKUP($B17,'World Bank'!$C:$N,9,FALSE)</f>
        <v>26.3</v>
      </c>
      <c r="L17" s="60">
        <f t="shared" si="3"/>
        <v>5.26</v>
      </c>
    </row>
    <row r="18" spans="1:12" x14ac:dyDescent="0.2">
      <c r="A18" s="181" t="s">
        <v>108</v>
      </c>
      <c r="B18" s="181" t="s">
        <v>109</v>
      </c>
      <c r="C18" s="49">
        <f t="shared" si="0"/>
        <v>6.3977777777777787</v>
      </c>
      <c r="D18" s="53">
        <f>VLOOKUP($B18,'World Bank'!$C:$J,8,FALSE)</f>
        <v>2019</v>
      </c>
      <c r="E18" s="351">
        <f>VLOOKUP($B18,'World Bank'!$C:$J,7,FALSE)</f>
        <v>34</v>
      </c>
      <c r="F18" s="60">
        <f t="shared" si="1"/>
        <v>4.5333333333333332</v>
      </c>
      <c r="G18" s="42">
        <f>VLOOKUP($B18,'World Bank'!$C:$N,12,FALSE)</f>
        <v>2012</v>
      </c>
      <c r="H18" s="44">
        <f>VLOOKUP($B18,'World Bank'!$C:$N,11,FALSE)</f>
        <v>20.6</v>
      </c>
      <c r="I18" s="60">
        <f t="shared" si="2"/>
        <v>8.24</v>
      </c>
      <c r="J18" s="42">
        <f>VLOOKUP($B18,'World Bank'!$C:$N,10,FALSE)</f>
        <v>2012</v>
      </c>
      <c r="K18" s="44">
        <f>VLOOKUP($B18,'World Bank'!$C:$N,9,FALSE)</f>
        <v>32.1</v>
      </c>
      <c r="L18" s="60">
        <f t="shared" si="3"/>
        <v>6.42</v>
      </c>
    </row>
    <row r="19" spans="1:12" x14ac:dyDescent="0.2">
      <c r="A19" s="181" t="s">
        <v>110</v>
      </c>
      <c r="B19" s="181" t="s">
        <v>111</v>
      </c>
      <c r="C19" s="49">
        <f t="shared" si="0"/>
        <v>4.46</v>
      </c>
      <c r="D19" s="53">
        <f>VLOOKUP($B19,'World Bank'!$C:$J,8,FALSE)</f>
        <v>2018</v>
      </c>
      <c r="E19" s="351">
        <f>VLOOKUP($B19,'World Bank'!$C:$J,7,FALSE)</f>
        <v>27.9</v>
      </c>
      <c r="F19" s="60">
        <f t="shared" si="1"/>
        <v>3.7199999999999998</v>
      </c>
      <c r="G19" s="58" t="s">
        <v>122</v>
      </c>
      <c r="H19" s="59" t="s">
        <v>141</v>
      </c>
      <c r="I19" s="58"/>
      <c r="J19" s="356">
        <v>2018</v>
      </c>
      <c r="K19" s="360">
        <v>26</v>
      </c>
      <c r="L19" s="60">
        <f t="shared" si="3"/>
        <v>5.2</v>
      </c>
    </row>
    <row r="20" spans="1:12" x14ac:dyDescent="0.2">
      <c r="A20" s="181" t="s">
        <v>86</v>
      </c>
      <c r="B20" s="181" t="s">
        <v>87</v>
      </c>
      <c r="C20" s="49">
        <f t="shared" si="0"/>
        <v>5.9244444444444442</v>
      </c>
      <c r="D20" s="53">
        <f>VLOOKUP($B20,'World Bank'!$C:$J,8,FALSE)</f>
        <v>2014</v>
      </c>
      <c r="E20" s="351">
        <f>VLOOKUP($B20,'World Bank'!$C:$J,7,FALSE)</f>
        <v>22.9</v>
      </c>
      <c r="F20" s="60">
        <f t="shared" si="1"/>
        <v>3.0533333333333328</v>
      </c>
      <c r="G20" s="42">
        <f>VLOOKUP($B20,'World Bank'!$C:$N,12,FALSE)</f>
        <v>2014</v>
      </c>
      <c r="H20" s="44">
        <f>VLOOKUP($B20,'World Bank'!$C:$N,11,FALSE)</f>
        <v>23.8</v>
      </c>
      <c r="I20" s="60">
        <f t="shared" si="2"/>
        <v>9.5200000000000014</v>
      </c>
      <c r="J20" s="42">
        <v>2018</v>
      </c>
      <c r="K20" s="56">
        <v>26</v>
      </c>
      <c r="L20" s="60">
        <f t="shared" si="3"/>
        <v>5.2</v>
      </c>
    </row>
    <row r="21" spans="1:12" x14ac:dyDescent="0.2">
      <c r="A21" s="181" t="s">
        <v>112</v>
      </c>
      <c r="B21" s="181" t="s">
        <v>113</v>
      </c>
      <c r="C21" s="49">
        <f t="shared" si="0"/>
        <v>2.42</v>
      </c>
      <c r="D21" s="53">
        <f>VLOOKUP($B21,'World Bank'!$C:$J,8,FALSE)</f>
        <v>2016</v>
      </c>
      <c r="E21" s="351">
        <f>VLOOKUP($B21,'World Bank'!$C:$J,7,FALSE)</f>
        <v>6</v>
      </c>
      <c r="F21" s="60">
        <f t="shared" si="1"/>
        <v>0.8</v>
      </c>
      <c r="G21" s="356">
        <v>2016</v>
      </c>
      <c r="H21" s="357">
        <v>8.1</v>
      </c>
      <c r="I21" s="60">
        <f t="shared" si="2"/>
        <v>3.24</v>
      </c>
      <c r="J21" s="356">
        <v>2016</v>
      </c>
      <c r="K21" s="360">
        <v>16.100000000000001</v>
      </c>
      <c r="L21" s="60">
        <f t="shared" si="3"/>
        <v>3.22</v>
      </c>
    </row>
    <row r="22" spans="1:12" x14ac:dyDescent="0.2">
      <c r="A22" s="57" t="s">
        <v>84</v>
      </c>
      <c r="B22" s="57" t="s">
        <v>85</v>
      </c>
      <c r="C22" s="49">
        <f t="shared" si="0"/>
        <v>3.2799999999999994</v>
      </c>
      <c r="D22" s="53">
        <f>VLOOKUP($B22,'World Bank'!$C:$J,8,FALSE)</f>
        <v>2021</v>
      </c>
      <c r="E22" s="352"/>
      <c r="F22" s="353"/>
      <c r="G22" s="356">
        <v>2014</v>
      </c>
      <c r="H22" s="357">
        <v>8.1999999999999993</v>
      </c>
      <c r="I22" s="60">
        <f t="shared" si="2"/>
        <v>3.2799999999999994</v>
      </c>
      <c r="J22" s="58" t="s">
        <v>122</v>
      </c>
      <c r="K22" s="58" t="s">
        <v>531</v>
      </c>
      <c r="L22" s="58" t="s">
        <v>122</v>
      </c>
    </row>
    <row r="23" spans="1:12" x14ac:dyDescent="0.2">
      <c r="A23" s="181" t="s">
        <v>81</v>
      </c>
      <c r="B23" s="181" t="s">
        <v>83</v>
      </c>
      <c r="C23" s="49">
        <f t="shared" si="0"/>
        <v>5.6111111111111107</v>
      </c>
      <c r="D23" s="53">
        <f>VLOOKUP($B23,'World Bank'!$C:$J,8,FALSE)</f>
        <v>2021</v>
      </c>
      <c r="E23" s="351">
        <f>VLOOKUP($B23,'World Bank'!$C:$J,7,FALSE)</f>
        <v>38.799999999999997</v>
      </c>
      <c r="F23" s="60">
        <f t="shared" si="1"/>
        <v>5.1733333333333329</v>
      </c>
      <c r="G23" s="358">
        <v>2018</v>
      </c>
      <c r="H23" s="359">
        <v>23.3</v>
      </c>
      <c r="I23" s="60">
        <f t="shared" si="2"/>
        <v>9.32</v>
      </c>
      <c r="J23" s="356">
        <v>2018</v>
      </c>
      <c r="K23" s="360">
        <v>11.7</v>
      </c>
      <c r="L23" s="60">
        <f t="shared" si="3"/>
        <v>2.34</v>
      </c>
    </row>
    <row r="24" spans="1:12" x14ac:dyDescent="0.2">
      <c r="A24" s="181" t="s">
        <v>106</v>
      </c>
      <c r="B24" s="52" t="s">
        <v>107</v>
      </c>
      <c r="C24" s="49">
        <f t="shared" si="0"/>
        <v>6.9044444444444446</v>
      </c>
      <c r="D24" s="53">
        <f>VLOOKUP($B24,'World Bank'!$C:$J,8,FALSE)</f>
        <v>2016</v>
      </c>
      <c r="E24" s="351">
        <f>VLOOKUP($B24,'World Bank'!$C:$J,7,FALSE)</f>
        <v>42.1</v>
      </c>
      <c r="F24" s="60">
        <f t="shared" si="1"/>
        <v>5.6133333333333333</v>
      </c>
      <c r="G24" s="42">
        <f>VLOOKUP($B24,'World Bank'!$C:$N,12,FALSE)</f>
        <v>2016</v>
      </c>
      <c r="H24" s="44">
        <f>VLOOKUP($B24,'World Bank'!$C:$N,11,FALSE)</f>
        <v>23</v>
      </c>
      <c r="I24" s="60">
        <f t="shared" si="2"/>
        <v>9.2000000000000011</v>
      </c>
      <c r="J24" s="42">
        <f>VLOOKUP($B24,'World Bank'!$C:$N,10,FALSE)</f>
        <v>2016</v>
      </c>
      <c r="K24" s="44">
        <f>VLOOKUP($B24,'World Bank'!$C:$N,9,FALSE)</f>
        <v>29.5</v>
      </c>
      <c r="L24" s="60">
        <f t="shared" si="3"/>
        <v>5.8999999999999995</v>
      </c>
    </row>
    <row r="25" spans="1:12" x14ac:dyDescent="0.2">
      <c r="A25" s="181" t="s">
        <v>65</v>
      </c>
      <c r="B25" s="181" t="s">
        <v>66</v>
      </c>
      <c r="C25" s="49">
        <f t="shared" si="0"/>
        <v>8.2799999999999994</v>
      </c>
      <c r="D25" s="53">
        <f>VLOOKUP($B25,'World Bank'!$C:$J,8,FALSE)</f>
        <v>2018</v>
      </c>
      <c r="E25" s="351">
        <f>VLOOKUP($B25,'World Bank'!$C:$J,7,FALSE)</f>
        <v>53.7</v>
      </c>
      <c r="F25" s="60">
        <f t="shared" si="1"/>
        <v>7.160000000000001</v>
      </c>
      <c r="G25" s="42">
        <f>VLOOKUP($B25,'World Bank'!$C:$N,12,FALSE)</f>
        <v>2018</v>
      </c>
      <c r="H25" s="44">
        <f>VLOOKUP($B25,'World Bank'!$C:$N,11,FALSE)</f>
        <v>28.1</v>
      </c>
      <c r="I25" s="60">
        <f t="shared" si="2"/>
        <v>10</v>
      </c>
      <c r="J25" s="42">
        <f>VLOOKUP($B25,'World Bank'!$C:$N,10,FALSE)</f>
        <v>2018</v>
      </c>
      <c r="K25" s="44">
        <f>VLOOKUP($B25,'World Bank'!$C:$N,9,FALSE)</f>
        <v>38.4</v>
      </c>
      <c r="L25" s="60">
        <f t="shared" si="3"/>
        <v>7.68</v>
      </c>
    </row>
    <row r="26" spans="1:12" x14ac:dyDescent="0.2">
      <c r="A26" s="181" t="s">
        <v>100</v>
      </c>
      <c r="B26" s="181" t="s">
        <v>101</v>
      </c>
      <c r="C26" s="49">
        <f t="shared" si="0"/>
        <v>5.5177777777777779</v>
      </c>
      <c r="D26" s="53">
        <f>VLOOKUP($B26,'World Bank'!$C:$J,8,FALSE)</f>
        <v>2015</v>
      </c>
      <c r="E26" s="351">
        <f>VLOOKUP($B26,'World Bank'!$C:$J,7,FALSE)</f>
        <v>52.9</v>
      </c>
      <c r="F26" s="60">
        <f t="shared" si="1"/>
        <v>7.0533333333333337</v>
      </c>
      <c r="G26" s="42">
        <f>VLOOKUP($B26,'World Bank'!$C:$N,12,FALSE)</f>
        <v>2015</v>
      </c>
      <c r="H26" s="44">
        <f>VLOOKUP($B26,'World Bank'!$C:$N,11,FALSE)</f>
        <v>14.7</v>
      </c>
      <c r="I26" s="60">
        <f t="shared" si="2"/>
        <v>5.88</v>
      </c>
      <c r="J26" s="42">
        <f>VLOOKUP($B26,'World Bank'!$C:$N,10,FALSE)</f>
        <v>2015</v>
      </c>
      <c r="K26" s="44">
        <f>VLOOKUP($B26,'World Bank'!$C:$N,9,FALSE)</f>
        <v>18.100000000000001</v>
      </c>
      <c r="L26" s="60">
        <f t="shared" si="3"/>
        <v>3.6200000000000006</v>
      </c>
    </row>
    <row r="27" spans="1:12" x14ac:dyDescent="0.2">
      <c r="A27" s="181" t="s">
        <v>69</v>
      </c>
      <c r="B27" s="181" t="s">
        <v>70</v>
      </c>
      <c r="C27" s="49">
        <f t="shared" si="0"/>
        <v>3.0977777777777775</v>
      </c>
      <c r="D27" s="53">
        <f>VLOOKUP($B27,'World Bank'!$C:$J,8,FALSE)</f>
        <v>2016</v>
      </c>
      <c r="E27" s="351">
        <f>VLOOKUP($B27,'World Bank'!$C:$J,7,FALSE)</f>
        <v>16</v>
      </c>
      <c r="F27" s="60">
        <f t="shared" si="1"/>
        <v>2.1333333333333333</v>
      </c>
      <c r="G27" s="42">
        <f>VLOOKUP($B27,'World Bank'!$C:$N,12,FALSE)</f>
        <v>2016</v>
      </c>
      <c r="H27" s="44">
        <f>VLOOKUP($B27,'World Bank'!$C:$N,11,FALSE)</f>
        <v>10.199999999999999</v>
      </c>
      <c r="I27" s="60">
        <f t="shared" si="2"/>
        <v>4.08</v>
      </c>
      <c r="J27" s="42">
        <f>VLOOKUP($B27,'World Bank'!$C:$N,10,FALSE)</f>
        <v>2016</v>
      </c>
      <c r="K27" s="44">
        <f>VLOOKUP($B27,'World Bank'!$C:$N,9,FALSE)</f>
        <v>15.4</v>
      </c>
      <c r="L27" s="60">
        <f t="shared" si="3"/>
        <v>3.08</v>
      </c>
    </row>
    <row r="28" spans="1:12" x14ac:dyDescent="0.2">
      <c r="A28" s="181" t="s">
        <v>90</v>
      </c>
      <c r="B28" s="181" t="s">
        <v>91</v>
      </c>
      <c r="C28" s="49">
        <f t="shared" si="0"/>
        <v>7.58</v>
      </c>
      <c r="D28" s="53">
        <f>VLOOKUP($B28,'World Bank'!$C:$J,8,FALSE)</f>
        <v>2012</v>
      </c>
      <c r="E28" s="351">
        <f>VLOOKUP($B28,'World Bank'!$C:$J,7,FALSE)</f>
        <v>76.3</v>
      </c>
      <c r="F28" s="60">
        <f t="shared" si="1"/>
        <v>10</v>
      </c>
      <c r="G28" s="356">
        <v>2018</v>
      </c>
      <c r="H28" s="357">
        <v>12.9</v>
      </c>
      <c r="I28" s="60">
        <f t="shared" si="2"/>
        <v>5.16</v>
      </c>
      <c r="J28" s="58" t="s">
        <v>122</v>
      </c>
      <c r="K28" s="58" t="s">
        <v>531</v>
      </c>
      <c r="L28" s="58" t="s">
        <v>122</v>
      </c>
    </row>
    <row r="29" spans="1:12" x14ac:dyDescent="0.2">
      <c r="A29" s="181" t="s">
        <v>79</v>
      </c>
      <c r="B29" s="181" t="s">
        <v>80</v>
      </c>
      <c r="C29" s="49">
        <f t="shared" si="0"/>
        <v>7.3755555555555548</v>
      </c>
      <c r="D29" s="53">
        <f>VLOOKUP($B29,'World Bank'!$C:$J,8,FALSE)</f>
        <v>2018</v>
      </c>
      <c r="E29" s="351">
        <f>VLOOKUP($B29,'World Bank'!$C:$J,7,FALSE)</f>
        <v>43.4</v>
      </c>
      <c r="F29" s="60">
        <f t="shared" si="1"/>
        <v>5.7866666666666671</v>
      </c>
      <c r="G29" s="42">
        <f>VLOOKUP($B29,'World Bank'!$C:$N,12,FALSE)</f>
        <v>2018</v>
      </c>
      <c r="H29" s="44">
        <f>VLOOKUP($B29,'World Bank'!$C:$N,11,FALSE)</f>
        <v>26.7</v>
      </c>
      <c r="I29" s="60">
        <f t="shared" si="2"/>
        <v>10</v>
      </c>
      <c r="J29" s="42">
        <f>VLOOKUP($B29,'World Bank'!$C:$N,10,FALSE)</f>
        <v>2018</v>
      </c>
      <c r="K29" s="44">
        <f>VLOOKUP($B29,'World Bank'!$C:$N,9,FALSE)</f>
        <v>31.7</v>
      </c>
      <c r="L29" s="60">
        <f t="shared" si="3"/>
        <v>6.34</v>
      </c>
    </row>
    <row r="30" spans="1:12" x14ac:dyDescent="0.2">
      <c r="A30" s="181" t="s">
        <v>73</v>
      </c>
      <c r="B30" s="181" t="s">
        <v>74</v>
      </c>
      <c r="C30" s="49">
        <f t="shared" si="0"/>
        <v>5.28</v>
      </c>
      <c r="D30" s="53">
        <f>VLOOKUP($B30,'World Bank'!$C:$J,8,FALSE)</f>
        <v>2018</v>
      </c>
      <c r="E30" s="351">
        <f>VLOOKUP($B30,'World Bank'!$C:$J,7,FALSE)</f>
        <v>18.3</v>
      </c>
      <c r="F30" s="60">
        <f t="shared" si="1"/>
        <v>2.4400000000000004</v>
      </c>
      <c r="G30" s="42">
        <f>VLOOKUP($B30,'World Bank'!$C:$N,12,FALSE)</f>
        <v>2018</v>
      </c>
      <c r="H30" s="44">
        <f>VLOOKUP($B30,'World Bank'!$C:$N,11,FALSE)</f>
        <v>20.6</v>
      </c>
      <c r="I30" s="60">
        <f t="shared" si="2"/>
        <v>8.24</v>
      </c>
      <c r="J30" s="42">
        <f>VLOOKUP($B30,'World Bank'!$C:$N,10,FALSE)</f>
        <v>2018</v>
      </c>
      <c r="K30" s="44">
        <f>VLOOKUP($B30,'World Bank'!$C:$N,9,FALSE)</f>
        <v>25.8</v>
      </c>
      <c r="L30" s="60">
        <f t="shared" si="3"/>
        <v>5.16</v>
      </c>
    </row>
    <row r="31" spans="1:12" x14ac:dyDescent="0.2">
      <c r="A31" s="181" t="s">
        <v>77</v>
      </c>
      <c r="B31" s="181" t="s">
        <v>78</v>
      </c>
      <c r="C31" s="49">
        <f t="shared" si="0"/>
        <v>5.0755555555555558</v>
      </c>
      <c r="D31" s="53">
        <f>VLOOKUP($B31,'World Bank'!$C:$J,8,FALSE)</f>
        <v>2020</v>
      </c>
      <c r="E31" s="351">
        <f>VLOOKUP($B31,'World Bank'!$C:$J,7,FALSE)</f>
        <v>13.4</v>
      </c>
      <c r="F31" s="60">
        <f t="shared" si="1"/>
        <v>1.7866666666666666</v>
      </c>
      <c r="G31" s="356">
        <v>2018</v>
      </c>
      <c r="H31" s="357">
        <v>19.100000000000001</v>
      </c>
      <c r="I31" s="60">
        <f t="shared" si="2"/>
        <v>7.6400000000000006</v>
      </c>
      <c r="J31" s="356">
        <v>2018</v>
      </c>
      <c r="K31" s="360">
        <v>29</v>
      </c>
      <c r="L31" s="60">
        <f t="shared" si="3"/>
        <v>5.8</v>
      </c>
    </row>
    <row r="32" spans="1:12" x14ac:dyDescent="0.2">
      <c r="A32" s="181" t="s">
        <v>57</v>
      </c>
      <c r="B32" s="181" t="s">
        <v>58</v>
      </c>
      <c r="C32" s="49">
        <f t="shared" si="0"/>
        <v>3.06</v>
      </c>
      <c r="D32" s="53">
        <f>VLOOKUP($B32,'World Bank'!$C:$J,8,FALSE)</f>
        <v>2020</v>
      </c>
      <c r="E32" s="351">
        <f>VLOOKUP($B32,'World Bank'!$C:$J,7,FALSE)</f>
        <v>0</v>
      </c>
      <c r="F32" s="60">
        <f t="shared" si="1"/>
        <v>0</v>
      </c>
      <c r="G32" s="58" t="s">
        <v>122</v>
      </c>
      <c r="H32" s="59" t="s">
        <v>141</v>
      </c>
      <c r="I32" s="60">
        <f>IF((K32/(H$3))*10&gt;10,10,(K32/(H$3))*10)</f>
        <v>6.12</v>
      </c>
      <c r="J32" s="358">
        <v>2020</v>
      </c>
      <c r="K32" s="359">
        <v>15.3</v>
      </c>
      <c r="L32" s="60">
        <f t="shared" si="3"/>
        <v>3.06</v>
      </c>
    </row>
    <row r="33" spans="1:13" x14ac:dyDescent="0.2">
      <c r="A33" s="181" t="s">
        <v>59</v>
      </c>
      <c r="B33" s="181" t="s">
        <v>60</v>
      </c>
      <c r="C33" s="49">
        <f t="shared" si="0"/>
        <v>8.3555555555555561</v>
      </c>
      <c r="D33" s="53">
        <f>VLOOKUP($B33,'World Bank'!$C:$J,8,FALSE)</f>
        <v>2010</v>
      </c>
      <c r="E33" s="351">
        <f>VLOOKUP($B33,'World Bank'!$C:$J,7,FALSE)</f>
        <v>51.5</v>
      </c>
      <c r="F33" s="60">
        <f t="shared" si="1"/>
        <v>6.8666666666666663</v>
      </c>
      <c r="G33" s="356">
        <v>2018</v>
      </c>
      <c r="H33" s="357">
        <v>26.7</v>
      </c>
      <c r="I33" s="60">
        <f t="shared" si="2"/>
        <v>10</v>
      </c>
      <c r="J33" s="356">
        <v>2018</v>
      </c>
      <c r="K33" s="360">
        <v>41</v>
      </c>
      <c r="L33" s="60">
        <f t="shared" si="3"/>
        <v>8.1999999999999993</v>
      </c>
    </row>
    <row r="34" spans="1:13" x14ac:dyDescent="0.2">
      <c r="A34" s="181" t="s">
        <v>53</v>
      </c>
      <c r="B34" s="181" t="s">
        <v>54</v>
      </c>
      <c r="C34" s="49">
        <f t="shared" si="0"/>
        <v>5.62</v>
      </c>
      <c r="D34" s="53">
        <f>VLOOKUP($B34,'World Bank'!$C:$J,8,FALSE)</f>
        <v>2014</v>
      </c>
      <c r="E34" s="351">
        <f>VLOOKUP($B34,'World Bank'!$C:$J,7,FALSE)</f>
        <v>34.200000000000003</v>
      </c>
      <c r="F34" s="60">
        <f t="shared" si="1"/>
        <v>4.5600000000000005</v>
      </c>
      <c r="G34" s="356">
        <v>2018</v>
      </c>
      <c r="H34" s="357">
        <v>16.7</v>
      </c>
      <c r="I34" s="60">
        <f t="shared" si="2"/>
        <v>6.68</v>
      </c>
      <c r="J34" s="361" t="s">
        <v>122</v>
      </c>
      <c r="K34" s="361" t="s">
        <v>531</v>
      </c>
      <c r="L34" s="58" t="s">
        <v>122</v>
      </c>
    </row>
    <row r="35" spans="1:13" x14ac:dyDescent="0.2">
      <c r="A35" s="181" t="s">
        <v>55</v>
      </c>
      <c r="B35" s="181" t="s">
        <v>56</v>
      </c>
      <c r="C35" s="362">
        <v>5.9</v>
      </c>
      <c r="D35" s="53">
        <f>VLOOKUP($B35,'World Bank'!$C:$J,8,FALSE)</f>
        <v>2021</v>
      </c>
      <c r="E35" s="352">
        <f>VLOOKUP($B35,'World Bank'!$C:$J,7,FALSE)</f>
        <v>0</v>
      </c>
      <c r="F35" s="354"/>
      <c r="G35" s="356">
        <v>2022</v>
      </c>
      <c r="H35" s="357">
        <v>38.700000000000003</v>
      </c>
      <c r="I35" s="60">
        <f t="shared" si="2"/>
        <v>10</v>
      </c>
      <c r="J35" s="361" t="s">
        <v>122</v>
      </c>
      <c r="K35" s="361" t="s">
        <v>531</v>
      </c>
      <c r="L35" s="58" t="s">
        <v>122</v>
      </c>
    </row>
    <row r="36" spans="1:13" x14ac:dyDescent="0.2">
      <c r="A36" s="181" t="s">
        <v>94</v>
      </c>
      <c r="B36" s="181" t="s">
        <v>95</v>
      </c>
      <c r="C36" s="49">
        <f>AVERAGE(F36,I36,L36)</f>
        <v>2.8044444444444441</v>
      </c>
      <c r="D36" s="53">
        <f>VLOOKUP($B36,'World Bank'!$C:$J,8,FALSE)</f>
        <v>2012</v>
      </c>
      <c r="E36" s="351">
        <f>VLOOKUP($B36,'World Bank'!$C:$J,7,FALSE)</f>
        <v>9.1</v>
      </c>
      <c r="F36" s="60">
        <f t="shared" si="1"/>
        <v>1.2133333333333334</v>
      </c>
      <c r="G36" s="358">
        <v>2018</v>
      </c>
      <c r="H36" s="359">
        <v>9</v>
      </c>
      <c r="I36" s="60">
        <f t="shared" si="2"/>
        <v>3.5999999999999996</v>
      </c>
      <c r="J36" s="358">
        <v>2018</v>
      </c>
      <c r="K36" s="359">
        <v>18</v>
      </c>
      <c r="L36" s="60">
        <f t="shared" ref="L36:L37" si="4">IF((K36/(K$3))*10&gt;10,10,(K36/(K$3))*10)</f>
        <v>3.5999999999999996</v>
      </c>
    </row>
    <row r="37" spans="1:13" x14ac:dyDescent="0.2">
      <c r="A37" s="181" t="s">
        <v>96</v>
      </c>
      <c r="B37" s="181" t="s">
        <v>97</v>
      </c>
      <c r="C37" s="49">
        <f>AVERAGE(F37,I37,L37)</f>
        <v>3.6</v>
      </c>
      <c r="D37" s="53">
        <f>VLOOKUP($B37,'World Bank'!$C:$J,8,FALSE)</f>
        <v>2021</v>
      </c>
      <c r="E37" s="352">
        <f>VLOOKUP($B37,'World Bank'!$C:$J,7,FALSE)</f>
        <v>0</v>
      </c>
      <c r="F37" s="354"/>
      <c r="G37" s="356">
        <v>2018</v>
      </c>
      <c r="H37" s="357">
        <v>8.5</v>
      </c>
      <c r="I37" s="60">
        <f t="shared" si="2"/>
        <v>3.4000000000000004</v>
      </c>
      <c r="J37" s="356">
        <v>2018</v>
      </c>
      <c r="K37" s="360">
        <v>19</v>
      </c>
      <c r="L37" s="60">
        <f t="shared" si="4"/>
        <v>3.8</v>
      </c>
    </row>
    <row r="38" spans="1:13" x14ac:dyDescent="0.2">
      <c r="A38" s="181" t="s">
        <v>51</v>
      </c>
      <c r="B38" s="181" t="s">
        <v>52</v>
      </c>
      <c r="C38" s="49">
        <f>AVERAGE(F38,I38,L38)</f>
        <v>4.2533333333333339</v>
      </c>
      <c r="D38" s="53">
        <f>VLOOKUP($B38,'World Bank'!$C:$J,8,FALSE)</f>
        <v>2013</v>
      </c>
      <c r="E38" s="351">
        <f>VLOOKUP($B38,'World Bank'!$C:$J,7,FALSE)</f>
        <v>31.9</v>
      </c>
      <c r="F38" s="60">
        <f t="shared" si="1"/>
        <v>4.2533333333333339</v>
      </c>
      <c r="G38" s="58" t="s">
        <v>122</v>
      </c>
      <c r="H38" s="59" t="s">
        <v>141</v>
      </c>
      <c r="I38" s="59"/>
      <c r="J38" s="58" t="s">
        <v>122</v>
      </c>
      <c r="K38" s="58" t="s">
        <v>531</v>
      </c>
      <c r="L38" s="58" t="s">
        <v>122</v>
      </c>
    </row>
    <row r="39" spans="1:13" x14ac:dyDescent="0.2">
      <c r="E39" s="174"/>
      <c r="F39" s="174"/>
      <c r="I39" s="174"/>
      <c r="K39" s="174"/>
      <c r="M39" s="174"/>
    </row>
    <row r="40" spans="1:13" x14ac:dyDescent="0.2">
      <c r="A40" s="75" t="s">
        <v>533</v>
      </c>
      <c r="M40" s="45"/>
    </row>
    <row r="41" spans="1:13" x14ac:dyDescent="0.2">
      <c r="A41" s="17" t="s">
        <v>84</v>
      </c>
      <c r="B41" s="17" t="s">
        <v>534</v>
      </c>
    </row>
    <row r="42" spans="1:13" x14ac:dyDescent="0.2">
      <c r="A42" s="17" t="s">
        <v>535</v>
      </c>
      <c r="B42" s="177" t="s">
        <v>536</v>
      </c>
      <c r="C42" s="177"/>
    </row>
    <row r="43" spans="1:13" x14ac:dyDescent="0.2">
      <c r="A43" s="17" t="s">
        <v>537</v>
      </c>
      <c r="B43" s="181" t="s">
        <v>538</v>
      </c>
      <c r="C43" s="181"/>
    </row>
    <row r="44" spans="1:13" x14ac:dyDescent="0.2">
      <c r="A44" s="17" t="s">
        <v>55</v>
      </c>
      <c r="B44" s="17" t="s">
        <v>539</v>
      </c>
    </row>
    <row r="45" spans="1:13" x14ac:dyDescent="0.2">
      <c r="A45" s="17" t="s">
        <v>96</v>
      </c>
      <c r="B45" s="173" t="s">
        <v>540</v>
      </c>
      <c r="C45" s="173"/>
    </row>
    <row r="46" spans="1:13" x14ac:dyDescent="0.2">
      <c r="A46" s="176"/>
    </row>
  </sheetData>
  <sheetProtection sheet="1" objects="1" scenarios="1"/>
  <hyperlinks>
    <hyperlink ref="B45" r:id="rId1" xr:uid="{4A8DA050-560D-4B3C-8904-041033FEC208}"/>
    <hyperlink ref="B42" r:id="rId2" xr:uid="{37F533A4-B999-4654-B4CB-A3CC15B2A86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0481-3020-4640-9744-00DB79CF5E06}">
  <sheetPr>
    <tabColor rgb="FFFCE4D6"/>
  </sheetPr>
  <dimension ref="A1:H40"/>
  <sheetViews>
    <sheetView showGridLines="0" workbookViewId="0">
      <selection activeCell="G44" sqref="G44"/>
    </sheetView>
  </sheetViews>
  <sheetFormatPr baseColWidth="10" defaultColWidth="9" defaultRowHeight="13" x14ac:dyDescent="0.15"/>
  <cols>
    <col min="1" max="1" width="11.6640625" style="120" bestFit="1" customWidth="1"/>
    <col min="2" max="2" width="5.5" style="120" bestFit="1" customWidth="1"/>
    <col min="3" max="3" width="9" style="120"/>
    <col min="4" max="4" width="6.1640625" style="120" bestFit="1" customWidth="1"/>
    <col min="5" max="5" width="7.1640625" style="120" customWidth="1"/>
    <col min="6" max="16384" width="9" style="120"/>
  </cols>
  <sheetData>
    <row r="1" spans="1:8" ht="51.75" customHeight="1" x14ac:dyDescent="0.15">
      <c r="C1" s="374" t="s">
        <v>541</v>
      </c>
      <c r="D1" s="374"/>
      <c r="E1" s="374"/>
    </row>
    <row r="2" spans="1:8" x14ac:dyDescent="0.15">
      <c r="A2" s="121"/>
      <c r="B2" s="122" t="s">
        <v>121</v>
      </c>
      <c r="C2" s="159">
        <v>0.2</v>
      </c>
      <c r="D2" s="122"/>
      <c r="E2" s="158">
        <f>MIN(E5:E38)</f>
        <v>0.188</v>
      </c>
    </row>
    <row r="3" spans="1:8" x14ac:dyDescent="0.15">
      <c r="A3" s="121"/>
      <c r="B3" s="122" t="s">
        <v>123</v>
      </c>
      <c r="C3" s="159">
        <v>0.8</v>
      </c>
      <c r="D3" s="122"/>
      <c r="E3" s="158">
        <f>MAX(E5:E38)</f>
        <v>0.82</v>
      </c>
    </row>
    <row r="4" spans="1:8" x14ac:dyDescent="0.15">
      <c r="A4" s="10" t="s">
        <v>124</v>
      </c>
      <c r="B4" s="11" t="s">
        <v>47</v>
      </c>
      <c r="C4" s="123" t="s">
        <v>125</v>
      </c>
      <c r="D4" s="66" t="s">
        <v>126</v>
      </c>
      <c r="E4" s="66" t="s">
        <v>128</v>
      </c>
    </row>
    <row r="5" spans="1:8" x14ac:dyDescent="0.15">
      <c r="A5" s="120" t="s">
        <v>48</v>
      </c>
      <c r="B5" s="120" t="s">
        <v>50</v>
      </c>
      <c r="C5" s="124">
        <f>E5*10</f>
        <v>6.65</v>
      </c>
      <c r="D5" s="73">
        <v>2022</v>
      </c>
      <c r="E5" s="295">
        <v>0.66500000000000004</v>
      </c>
      <c r="G5" s="295"/>
    </row>
    <row r="6" spans="1:8" x14ac:dyDescent="0.15">
      <c r="A6" s="120" t="s">
        <v>133</v>
      </c>
      <c r="B6" s="120" t="s">
        <v>134</v>
      </c>
      <c r="C6" s="124">
        <f>E6*10</f>
        <v>4.9800000000000004</v>
      </c>
      <c r="D6" s="73">
        <v>2022</v>
      </c>
      <c r="E6" s="295">
        <v>0.498</v>
      </c>
      <c r="G6" s="295"/>
    </row>
    <row r="7" spans="1:8" x14ac:dyDescent="0.15">
      <c r="A7" s="120" t="s">
        <v>98</v>
      </c>
      <c r="B7" s="120" t="s">
        <v>99</v>
      </c>
      <c r="C7" s="124">
        <f>E7*10</f>
        <v>5.77</v>
      </c>
      <c r="D7" s="73">
        <v>2022</v>
      </c>
      <c r="E7" s="295">
        <v>0.57699999999999996</v>
      </c>
      <c r="G7" s="295"/>
    </row>
    <row r="8" spans="1:8" x14ac:dyDescent="0.15">
      <c r="A8" s="120" t="s">
        <v>88</v>
      </c>
      <c r="B8" s="120" t="s">
        <v>89</v>
      </c>
      <c r="C8" s="124">
        <f>E8*10</f>
        <v>4.99</v>
      </c>
      <c r="D8" s="73">
        <v>2022</v>
      </c>
      <c r="E8" s="295">
        <v>0.499</v>
      </c>
      <c r="G8" s="295"/>
    </row>
    <row r="9" spans="1:8" x14ac:dyDescent="0.15">
      <c r="A9" s="120" t="s">
        <v>92</v>
      </c>
      <c r="B9" s="120" t="s">
        <v>93</v>
      </c>
      <c r="C9" s="124">
        <f>E9*10</f>
        <v>5.5500000000000007</v>
      </c>
      <c r="D9" s="73">
        <v>2022</v>
      </c>
      <c r="E9" s="295">
        <v>0.55500000000000005</v>
      </c>
      <c r="G9" s="295"/>
    </row>
    <row r="10" spans="1:8" x14ac:dyDescent="0.15">
      <c r="A10" s="74" t="s">
        <v>75</v>
      </c>
      <c r="B10" s="74" t="s">
        <v>76</v>
      </c>
      <c r="C10" s="124">
        <f t="shared" ref="C10:C38" si="0">E10*10</f>
        <v>6.7200000000000006</v>
      </c>
      <c r="D10" s="74">
        <v>2021</v>
      </c>
      <c r="E10" s="296">
        <v>0.67200000000000004</v>
      </c>
      <c r="F10" s="120" t="s">
        <v>1151</v>
      </c>
      <c r="G10" s="295"/>
    </row>
    <row r="11" spans="1:8" x14ac:dyDescent="0.15">
      <c r="A11" s="120" t="s">
        <v>67</v>
      </c>
      <c r="B11" s="120" t="s">
        <v>68</v>
      </c>
      <c r="C11" s="124">
        <f t="shared" si="0"/>
        <v>6.7100000000000009</v>
      </c>
      <c r="D11" s="73">
        <v>2022</v>
      </c>
      <c r="E11" s="295">
        <v>0.67100000000000004</v>
      </c>
      <c r="G11" s="295"/>
    </row>
    <row r="12" spans="1:8" x14ac:dyDescent="0.15">
      <c r="A12" s="120" t="s">
        <v>104</v>
      </c>
      <c r="B12" s="120" t="s">
        <v>105</v>
      </c>
      <c r="C12" s="124">
        <f t="shared" si="0"/>
        <v>3.92</v>
      </c>
      <c r="D12" s="73">
        <v>2022</v>
      </c>
      <c r="E12" s="295">
        <v>0.39200000000000002</v>
      </c>
      <c r="G12" s="295"/>
    </row>
    <row r="13" spans="1:8" x14ac:dyDescent="0.15">
      <c r="A13" s="120" t="s">
        <v>63</v>
      </c>
      <c r="B13" s="120" t="s">
        <v>64</v>
      </c>
      <c r="C13" s="124">
        <f t="shared" si="0"/>
        <v>6.05</v>
      </c>
      <c r="D13" s="73">
        <v>2022</v>
      </c>
      <c r="E13" s="295">
        <v>0.60499999999999998</v>
      </c>
      <c r="G13" s="295"/>
      <c r="H13" s="160"/>
    </row>
    <row r="14" spans="1:8" x14ac:dyDescent="0.15">
      <c r="A14" s="120" t="s">
        <v>114</v>
      </c>
      <c r="B14" s="120" t="s">
        <v>115</v>
      </c>
      <c r="C14" s="124">
        <f t="shared" si="0"/>
        <v>3.69</v>
      </c>
      <c r="D14" s="73">
        <v>2022</v>
      </c>
      <c r="E14" s="295">
        <v>0.36899999999999999</v>
      </c>
      <c r="G14" s="295"/>
      <c r="H14" s="160"/>
    </row>
    <row r="15" spans="1:8" x14ac:dyDescent="0.15">
      <c r="A15" s="120" t="s">
        <v>61</v>
      </c>
      <c r="B15" s="120" t="s">
        <v>62</v>
      </c>
      <c r="C15" s="124">
        <f t="shared" si="0"/>
        <v>4.9399999999999995</v>
      </c>
      <c r="D15" s="73">
        <v>2022</v>
      </c>
      <c r="E15" s="295">
        <v>0.49399999999999999</v>
      </c>
      <c r="G15" s="295"/>
    </row>
    <row r="16" spans="1:8" x14ac:dyDescent="0.15">
      <c r="A16" s="120" t="s">
        <v>102</v>
      </c>
      <c r="B16" s="120" t="s">
        <v>103</v>
      </c>
      <c r="C16" s="124">
        <f t="shared" si="0"/>
        <v>4.74</v>
      </c>
      <c r="D16" s="73">
        <v>2022</v>
      </c>
      <c r="E16" s="295">
        <v>0.47399999999999998</v>
      </c>
      <c r="G16" s="295"/>
    </row>
    <row r="17" spans="1:7" x14ac:dyDescent="0.15">
      <c r="A17" s="120" t="s">
        <v>71</v>
      </c>
      <c r="B17" s="120" t="s">
        <v>72</v>
      </c>
      <c r="C17" s="124">
        <f t="shared" si="0"/>
        <v>6.21</v>
      </c>
      <c r="D17" s="73">
        <v>2022</v>
      </c>
      <c r="E17" s="295">
        <v>0.621</v>
      </c>
      <c r="G17" s="295"/>
    </row>
    <row r="18" spans="1:7" x14ac:dyDescent="0.15">
      <c r="A18" s="120" t="s">
        <v>108</v>
      </c>
      <c r="B18" s="120" t="s">
        <v>109</v>
      </c>
      <c r="C18" s="124">
        <f t="shared" si="0"/>
        <v>4.13</v>
      </c>
      <c r="D18" s="73">
        <v>2022</v>
      </c>
      <c r="E18" s="295">
        <v>0.41299999999999998</v>
      </c>
      <c r="G18" s="295"/>
    </row>
    <row r="19" spans="1:7" x14ac:dyDescent="0.15">
      <c r="A19" s="120" t="s">
        <v>110</v>
      </c>
      <c r="B19" s="120" t="s">
        <v>111</v>
      </c>
      <c r="C19" s="124">
        <f t="shared" si="0"/>
        <v>5.620000000000001</v>
      </c>
      <c r="D19" s="73">
        <v>2022</v>
      </c>
      <c r="E19" s="295">
        <v>0.56200000000000006</v>
      </c>
      <c r="G19" s="295"/>
    </row>
    <row r="20" spans="1:7" x14ac:dyDescent="0.15">
      <c r="A20" s="120" t="s">
        <v>86</v>
      </c>
      <c r="B20" s="120" t="s">
        <v>87</v>
      </c>
      <c r="C20" s="124">
        <f t="shared" si="0"/>
        <v>5.33</v>
      </c>
      <c r="D20" s="73">
        <v>2022</v>
      </c>
      <c r="E20" s="295">
        <v>0.53300000000000003</v>
      </c>
      <c r="G20" s="295"/>
    </row>
    <row r="21" spans="1:7" x14ac:dyDescent="0.15">
      <c r="A21" s="120" t="s">
        <v>112</v>
      </c>
      <c r="B21" s="120" t="s">
        <v>113</v>
      </c>
      <c r="C21" s="124">
        <f t="shared" si="0"/>
        <v>3.65</v>
      </c>
      <c r="D21" s="73">
        <v>2022</v>
      </c>
      <c r="E21" s="295">
        <v>0.36499999999999999</v>
      </c>
      <c r="G21" s="295"/>
    </row>
    <row r="22" spans="1:7" x14ac:dyDescent="0.15">
      <c r="A22" s="120" t="s">
        <v>84</v>
      </c>
      <c r="B22" s="120" t="s">
        <v>85</v>
      </c>
      <c r="C22" s="124">
        <f t="shared" si="0"/>
        <v>2.66</v>
      </c>
      <c r="D22" s="73">
        <v>2022</v>
      </c>
      <c r="E22" s="295">
        <v>0.26600000000000001</v>
      </c>
      <c r="G22" s="295"/>
    </row>
    <row r="23" spans="1:7" x14ac:dyDescent="0.15">
      <c r="A23" s="120" t="s">
        <v>81</v>
      </c>
      <c r="B23" s="120" t="s">
        <v>83</v>
      </c>
      <c r="C23" s="124">
        <f t="shared" si="0"/>
        <v>5.7399999999999993</v>
      </c>
      <c r="D23" s="73">
        <v>2022</v>
      </c>
      <c r="E23" s="295">
        <v>0.57399999999999995</v>
      </c>
      <c r="G23" s="295"/>
    </row>
    <row r="24" spans="1:7" x14ac:dyDescent="0.15">
      <c r="A24" s="120" t="s">
        <v>106</v>
      </c>
      <c r="B24" s="120" t="s">
        <v>107</v>
      </c>
      <c r="C24" s="124">
        <f t="shared" si="0"/>
        <v>5.7899999999999991</v>
      </c>
      <c r="D24" s="73">
        <v>2022</v>
      </c>
      <c r="E24" s="295">
        <v>0.57899999999999996</v>
      </c>
      <c r="G24" s="295"/>
    </row>
    <row r="25" spans="1:7" x14ac:dyDescent="0.15">
      <c r="A25" s="120" t="s">
        <v>65</v>
      </c>
      <c r="B25" s="120" t="s">
        <v>66</v>
      </c>
      <c r="C25" s="124">
        <f t="shared" si="0"/>
        <v>6.07</v>
      </c>
      <c r="D25" s="73">
        <v>2022</v>
      </c>
      <c r="E25" s="295">
        <v>0.60699999999999998</v>
      </c>
      <c r="G25" s="295"/>
    </row>
    <row r="26" spans="1:7" x14ac:dyDescent="0.15">
      <c r="A26" s="120" t="s">
        <v>100</v>
      </c>
      <c r="B26" s="120" t="s">
        <v>101</v>
      </c>
      <c r="C26" s="124">
        <f t="shared" si="0"/>
        <v>4.7699999999999996</v>
      </c>
      <c r="D26" s="73">
        <v>2022</v>
      </c>
      <c r="E26" s="295">
        <v>0.47699999999999998</v>
      </c>
      <c r="G26" s="295"/>
    </row>
    <row r="27" spans="1:7" x14ac:dyDescent="0.15">
      <c r="A27" s="120" t="s">
        <v>69</v>
      </c>
      <c r="B27" s="120" t="s">
        <v>70</v>
      </c>
      <c r="C27" s="124">
        <f t="shared" si="0"/>
        <v>4.79</v>
      </c>
      <c r="D27" s="73">
        <v>2022</v>
      </c>
      <c r="E27" s="295">
        <v>0.47899999999999998</v>
      </c>
      <c r="G27" s="295"/>
    </row>
    <row r="28" spans="1:7" x14ac:dyDescent="0.15">
      <c r="A28" s="120" t="s">
        <v>90</v>
      </c>
      <c r="B28" s="120" t="s">
        <v>91</v>
      </c>
      <c r="C28" s="124">
        <f t="shared" si="0"/>
        <v>6.09</v>
      </c>
      <c r="D28" s="73">
        <v>2022</v>
      </c>
      <c r="E28" s="295">
        <v>0.60899999999999999</v>
      </c>
      <c r="G28" s="295"/>
    </row>
    <row r="29" spans="1:7" x14ac:dyDescent="0.15">
      <c r="A29" s="120" t="s">
        <v>79</v>
      </c>
      <c r="B29" s="120" t="s">
        <v>80</v>
      </c>
      <c r="C29" s="124">
        <f t="shared" si="0"/>
        <v>6.7700000000000005</v>
      </c>
      <c r="D29" s="73">
        <v>2022</v>
      </c>
      <c r="E29" s="295">
        <v>0.67700000000000005</v>
      </c>
      <c r="G29" s="295"/>
    </row>
    <row r="30" spans="1:7" x14ac:dyDescent="0.15">
      <c r="A30" s="120" t="s">
        <v>73</v>
      </c>
      <c r="B30" s="120" t="s">
        <v>74</v>
      </c>
      <c r="C30" s="124">
        <f t="shared" si="0"/>
        <v>5.2200000000000006</v>
      </c>
      <c r="D30" s="73">
        <v>2022</v>
      </c>
      <c r="E30" s="295">
        <v>0.52200000000000002</v>
      </c>
      <c r="G30" s="295"/>
    </row>
    <row r="31" spans="1:7" x14ac:dyDescent="0.15">
      <c r="A31" s="74" t="s">
        <v>77</v>
      </c>
      <c r="B31" s="74" t="s">
        <v>78</v>
      </c>
      <c r="C31" s="124">
        <f t="shared" si="0"/>
        <v>4.09</v>
      </c>
      <c r="D31" s="74">
        <v>2021</v>
      </c>
      <c r="E31" s="296">
        <v>0.40899999999999997</v>
      </c>
      <c r="F31" s="120" t="s">
        <v>1151</v>
      </c>
      <c r="G31" s="295"/>
    </row>
    <row r="32" spans="1:7" x14ac:dyDescent="0.15">
      <c r="A32" s="120" t="s">
        <v>57</v>
      </c>
      <c r="B32" s="120" t="s">
        <v>58</v>
      </c>
      <c r="C32" s="124">
        <f t="shared" si="0"/>
        <v>6.74</v>
      </c>
      <c r="D32" s="73">
        <v>2022</v>
      </c>
      <c r="E32" s="295">
        <v>0.67400000000000004</v>
      </c>
      <c r="G32" s="295"/>
    </row>
    <row r="33" spans="1:7" x14ac:dyDescent="0.15">
      <c r="A33" s="74" t="s">
        <v>59</v>
      </c>
      <c r="B33" s="74" t="s">
        <v>60</v>
      </c>
      <c r="C33" s="124">
        <f t="shared" si="0"/>
        <v>5.8699999999999992</v>
      </c>
      <c r="D33" s="74">
        <v>2021</v>
      </c>
      <c r="E33" s="296">
        <v>0.58699999999999997</v>
      </c>
      <c r="F33" s="120" t="s">
        <v>1151</v>
      </c>
      <c r="G33" s="295"/>
    </row>
    <row r="34" spans="1:7" x14ac:dyDescent="0.15">
      <c r="A34" s="120" t="s">
        <v>53</v>
      </c>
      <c r="B34" s="120" t="s">
        <v>54</v>
      </c>
      <c r="C34" s="124">
        <f t="shared" si="0"/>
        <v>5.48</v>
      </c>
      <c r="D34" s="73">
        <v>2022</v>
      </c>
      <c r="E34" s="295">
        <v>0.54800000000000004</v>
      </c>
      <c r="G34" s="295"/>
    </row>
    <row r="35" spans="1:7" x14ac:dyDescent="0.15">
      <c r="A35" s="120" t="s">
        <v>55</v>
      </c>
      <c r="B35" s="120" t="s">
        <v>56</v>
      </c>
      <c r="C35" s="124">
        <f t="shared" si="0"/>
        <v>4.87</v>
      </c>
      <c r="D35" s="73">
        <v>2022</v>
      </c>
      <c r="E35" s="295">
        <v>0.48699999999999999</v>
      </c>
      <c r="G35" s="295"/>
    </row>
    <row r="36" spans="1:7" x14ac:dyDescent="0.15">
      <c r="A36" s="120" t="s">
        <v>94</v>
      </c>
      <c r="B36" s="120" t="s">
        <v>95</v>
      </c>
      <c r="C36" s="124">
        <f t="shared" si="0"/>
        <v>1.88</v>
      </c>
      <c r="D36" s="73">
        <v>2022</v>
      </c>
      <c r="E36" s="295">
        <v>0.188</v>
      </c>
      <c r="G36" s="295"/>
    </row>
    <row r="37" spans="1:7" x14ac:dyDescent="0.15">
      <c r="A37" s="120" t="s">
        <v>96</v>
      </c>
      <c r="B37" s="120" t="s">
        <v>97</v>
      </c>
      <c r="C37" s="124">
        <f t="shared" si="0"/>
        <v>5.21</v>
      </c>
      <c r="D37" s="73">
        <v>2022</v>
      </c>
      <c r="E37" s="295">
        <v>0.52100000000000002</v>
      </c>
      <c r="G37" s="295"/>
    </row>
    <row r="38" spans="1:7" x14ac:dyDescent="0.15">
      <c r="A38" s="120" t="s">
        <v>51</v>
      </c>
      <c r="B38" s="120" t="s">
        <v>52</v>
      </c>
      <c r="C38" s="124">
        <f t="shared" si="0"/>
        <v>8.1999999999999993</v>
      </c>
      <c r="D38" s="73">
        <v>2022</v>
      </c>
      <c r="E38" s="295">
        <v>0.82</v>
      </c>
      <c r="G38" s="295"/>
    </row>
    <row r="40" spans="1:7" s="125" customFormat="1" ht="14" x14ac:dyDescent="0.15"/>
  </sheetData>
  <sheetProtection sheet="1" objects="1" scenarios="1"/>
  <mergeCells count="1">
    <mergeCell ref="C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2582-6EEB-443E-849F-54B89AF9EF98}">
  <sheetPr>
    <tabColor rgb="FFFFF2CC"/>
  </sheetPr>
  <dimension ref="A1:E41"/>
  <sheetViews>
    <sheetView showGridLines="0" workbookViewId="0">
      <selection activeCell="D7" sqref="D7"/>
    </sheetView>
  </sheetViews>
  <sheetFormatPr baseColWidth="10" defaultColWidth="9" defaultRowHeight="14" x14ac:dyDescent="0.2"/>
  <cols>
    <col min="1" max="1" width="11.6640625" style="40" bestFit="1" customWidth="1"/>
    <col min="2" max="2" width="5.5" style="40" bestFit="1" customWidth="1"/>
    <col min="3" max="3" width="6.6640625" style="191" customWidth="1"/>
    <col min="4" max="4" width="6.5" style="40" customWidth="1"/>
    <col min="5" max="16384" width="9" style="40"/>
  </cols>
  <sheetData>
    <row r="1" spans="1:5" s="17" customFormat="1" ht="27.75" customHeight="1" x14ac:dyDescent="0.2">
      <c r="A1" s="181"/>
      <c r="B1" s="181"/>
      <c r="C1" s="271"/>
      <c r="D1" s="375" t="s">
        <v>544</v>
      </c>
      <c r="E1" s="375"/>
    </row>
    <row r="2" spans="1:5" s="51" customFormat="1" ht="11" x14ac:dyDescent="0.15">
      <c r="A2" s="61" t="s">
        <v>122</v>
      </c>
      <c r="B2" s="61" t="s">
        <v>121</v>
      </c>
      <c r="C2" s="202"/>
      <c r="D2" s="207">
        <v>1</v>
      </c>
    </row>
    <row r="3" spans="1:5" s="51" customFormat="1" ht="11" x14ac:dyDescent="0.15">
      <c r="A3" s="61" t="s">
        <v>122</v>
      </c>
      <c r="B3" s="61" t="s">
        <v>123</v>
      </c>
      <c r="C3" s="202"/>
      <c r="D3" s="207">
        <v>5</v>
      </c>
    </row>
    <row r="4" spans="1:5" s="50" customFormat="1" ht="16" x14ac:dyDescent="0.2">
      <c r="A4" s="65" t="s">
        <v>124</v>
      </c>
      <c r="B4" s="65" t="s">
        <v>47</v>
      </c>
      <c r="C4" s="71" t="s">
        <v>125</v>
      </c>
      <c r="D4" s="71" t="s">
        <v>128</v>
      </c>
    </row>
    <row r="5" spans="1:5" s="17" customFormat="1" ht="16" x14ac:dyDescent="0.2">
      <c r="A5" s="73" t="s">
        <v>48</v>
      </c>
      <c r="B5" s="73" t="s">
        <v>50</v>
      </c>
      <c r="C5" s="215">
        <f>IF(((D5-$D$2)/($D$3-$D$2))*10&gt;9.9,9.9,((D5-$D$2)/($D$3-$D$2))*10)</f>
        <v>9.9</v>
      </c>
      <c r="D5" s="201" cm="1">
        <f t="array" ref="D5">MAX(IF('INFORM-S Crises'!E:R=$B5,'INFORM-S Crises'!R:R))</f>
        <v>5</v>
      </c>
    </row>
    <row r="6" spans="1:5" s="17" customFormat="1" ht="16" x14ac:dyDescent="0.2">
      <c r="A6" s="73" t="s">
        <v>133</v>
      </c>
      <c r="B6" s="73" t="s">
        <v>134</v>
      </c>
      <c r="C6" s="215">
        <f t="shared" ref="C6:C38" si="0">IF(((D6-$D$2)/($D$3-$D$2))*10&gt;9.9,9.9,((D6-$D$2)/($D$3-$D$2))*10)</f>
        <v>9.375</v>
      </c>
      <c r="D6" s="201" cm="1">
        <f t="array" ref="D6">MAX(IF('INFORM-S Crises'!E:R=$B6,'INFORM-S Crises'!R:R))</f>
        <v>4.75</v>
      </c>
    </row>
    <row r="7" spans="1:5" s="17" customFormat="1" ht="16" x14ac:dyDescent="0.2">
      <c r="A7" s="73" t="s">
        <v>98</v>
      </c>
      <c r="B7" s="73" t="s">
        <v>99</v>
      </c>
      <c r="C7" s="215">
        <f t="shared" si="0"/>
        <v>3.2499999999999996</v>
      </c>
      <c r="D7" s="201" cm="1">
        <f t="array" ref="D7">MAX(IF('INFORM-S Crises'!E:R=$B7,'INFORM-S Crises'!R:R))</f>
        <v>2.2999999999999998</v>
      </c>
    </row>
    <row r="8" spans="1:5" s="17" customFormat="1" ht="16" x14ac:dyDescent="0.2">
      <c r="A8" s="73" t="s">
        <v>88</v>
      </c>
      <c r="B8" s="73" t="s">
        <v>89</v>
      </c>
      <c r="C8" s="215">
        <f t="shared" si="0"/>
        <v>5.75</v>
      </c>
      <c r="D8" s="201" cm="1">
        <f t="array" ref="D8">MAX(IF('INFORM-S Crises'!E:R=$B8,'INFORM-S Crises'!R:R))</f>
        <v>3.3</v>
      </c>
    </row>
    <row r="9" spans="1:5" s="17" customFormat="1" ht="16" x14ac:dyDescent="0.2">
      <c r="A9" s="73" t="s">
        <v>92</v>
      </c>
      <c r="B9" s="73" t="s">
        <v>93</v>
      </c>
      <c r="C9" s="215">
        <f t="shared" si="0"/>
        <v>2.875</v>
      </c>
      <c r="D9" s="201" cm="1">
        <f t="array" ref="D9">MAX(IF('INFORM-S Crises'!E:R=$B9,'INFORM-S Crises'!R:R))</f>
        <v>2.15</v>
      </c>
    </row>
    <row r="10" spans="1:5" s="17" customFormat="1" ht="16" x14ac:dyDescent="0.2">
      <c r="A10" s="73" t="s">
        <v>75</v>
      </c>
      <c r="B10" s="73" t="s">
        <v>76</v>
      </c>
      <c r="C10" s="215">
        <f t="shared" si="0"/>
        <v>8.5</v>
      </c>
      <c r="D10" s="201" cm="1">
        <f t="array" ref="D10">MAX(IF('INFORM-S Crises'!E:R=$B10,'INFORM-S Crises'!R:R))</f>
        <v>4.4000000000000004</v>
      </c>
    </row>
    <row r="11" spans="1:5" s="17" customFormat="1" ht="16" x14ac:dyDescent="0.2">
      <c r="A11" s="73" t="s">
        <v>67</v>
      </c>
      <c r="B11" s="73" t="s">
        <v>68</v>
      </c>
      <c r="C11" s="215">
        <f t="shared" si="0"/>
        <v>5.625</v>
      </c>
      <c r="D11" s="201" cm="1">
        <f t="array" ref="D11">MAX(IF('INFORM-S Crises'!E:R=$B11,'INFORM-S Crises'!R:R))</f>
        <v>3.25</v>
      </c>
    </row>
    <row r="12" spans="1:5" s="17" customFormat="1" ht="16" x14ac:dyDescent="0.2">
      <c r="A12" s="73" t="s">
        <v>104</v>
      </c>
      <c r="B12" s="73" t="s">
        <v>105</v>
      </c>
      <c r="C12" s="215">
        <f t="shared" si="0"/>
        <v>8.8750000000000018</v>
      </c>
      <c r="D12" s="201" cm="1">
        <f t="array" ref="D12">MAX(IF('INFORM-S Crises'!E:R=$B12,'INFORM-S Crises'!R:R))</f>
        <v>4.5500000000000007</v>
      </c>
    </row>
    <row r="13" spans="1:5" s="17" customFormat="1" ht="16" x14ac:dyDescent="0.2">
      <c r="A13" s="73" t="s">
        <v>63</v>
      </c>
      <c r="B13" s="73" t="s">
        <v>64</v>
      </c>
      <c r="C13" s="215">
        <f t="shared" si="0"/>
        <v>5.1250000000000009</v>
      </c>
      <c r="D13" s="201" cm="1">
        <f t="array" ref="D13">MAX(IF('INFORM-S Crises'!E:R=$B13,'INFORM-S Crises'!R:R))</f>
        <v>3.0500000000000003</v>
      </c>
    </row>
    <row r="14" spans="1:5" s="17" customFormat="1" ht="16" x14ac:dyDescent="0.2">
      <c r="A14" s="73" t="s">
        <v>114</v>
      </c>
      <c r="B14" s="73" t="s">
        <v>115</v>
      </c>
      <c r="C14" s="215">
        <f t="shared" si="0"/>
        <v>1.7500000000000004</v>
      </c>
      <c r="D14" s="201" cm="1">
        <f t="array" ref="D14">MAX(IF('INFORM-S Crises'!E:R=$B14,'INFORM-S Crises'!R:R))</f>
        <v>1.7000000000000002</v>
      </c>
    </row>
    <row r="15" spans="1:5" s="17" customFormat="1" ht="16" x14ac:dyDescent="0.2">
      <c r="A15" s="73" t="s">
        <v>61</v>
      </c>
      <c r="B15" s="73" t="s">
        <v>62</v>
      </c>
      <c r="C15" s="215">
        <f t="shared" si="0"/>
        <v>9.9</v>
      </c>
      <c r="D15" s="201" cm="1">
        <f t="array" ref="D15">MAX(IF('INFORM-S Crises'!E:R=$B15,'INFORM-S Crises'!R:R))</f>
        <v>5</v>
      </c>
    </row>
    <row r="16" spans="1:5" s="17" customFormat="1" ht="16" x14ac:dyDescent="0.2">
      <c r="A16" s="73" t="s">
        <v>102</v>
      </c>
      <c r="B16" s="73" t="s">
        <v>103</v>
      </c>
      <c r="C16" s="215">
        <f t="shared" si="0"/>
        <v>5.8749999999999991</v>
      </c>
      <c r="D16" s="201" cm="1">
        <f t="array" ref="D16">MAX(IF('INFORM-S Crises'!E:R=$B16,'INFORM-S Crises'!R:R))</f>
        <v>3.3499999999999996</v>
      </c>
    </row>
    <row r="17" spans="1:4" s="17" customFormat="1" ht="16" x14ac:dyDescent="0.2">
      <c r="A17" s="73" t="s">
        <v>71</v>
      </c>
      <c r="B17" s="73" t="s">
        <v>72</v>
      </c>
      <c r="C17" s="215">
        <f t="shared" si="0"/>
        <v>6.875</v>
      </c>
      <c r="D17" s="201" cm="1">
        <f t="array" ref="D17">MAX(IF('INFORM-S Crises'!E:R=$B17,'INFORM-S Crises'!R:R))</f>
        <v>3.75</v>
      </c>
    </row>
    <row r="18" spans="1:4" s="17" customFormat="1" ht="16" x14ac:dyDescent="0.2">
      <c r="A18" s="73" t="s">
        <v>108</v>
      </c>
      <c r="B18" s="73" t="s">
        <v>109</v>
      </c>
      <c r="C18" s="215">
        <f t="shared" si="0"/>
        <v>6</v>
      </c>
      <c r="D18" s="201" cm="1">
        <f t="array" ref="D18">MAX(IF('INFORM-S Crises'!E:R=$B18,'INFORM-S Crises'!R:R))</f>
        <v>3.4</v>
      </c>
    </row>
    <row r="19" spans="1:4" s="17" customFormat="1" ht="16" x14ac:dyDescent="0.2">
      <c r="A19" s="73" t="s">
        <v>110</v>
      </c>
      <c r="B19" s="73" t="s">
        <v>111</v>
      </c>
      <c r="C19" s="215">
        <f t="shared" si="0"/>
        <v>2.875</v>
      </c>
      <c r="D19" s="201" cm="1">
        <f t="array" ref="D19">MAX(IF('INFORM-S Crises'!E:R=$B19,'INFORM-S Crises'!R:R))</f>
        <v>2.15</v>
      </c>
    </row>
    <row r="20" spans="1:4" s="17" customFormat="1" ht="16" x14ac:dyDescent="0.2">
      <c r="A20" s="73" t="s">
        <v>86</v>
      </c>
      <c r="B20" s="73" t="s">
        <v>87</v>
      </c>
      <c r="C20" s="215">
        <f t="shared" si="0"/>
        <v>9.875</v>
      </c>
      <c r="D20" s="201" cm="1">
        <f t="array" ref="D20">MAX(IF('INFORM-S Crises'!E:R=$B20,'INFORM-S Crises'!R:R))</f>
        <v>4.95</v>
      </c>
    </row>
    <row r="21" spans="1:4" s="17" customFormat="1" ht="16" x14ac:dyDescent="0.2">
      <c r="A21" s="73" t="s">
        <v>112</v>
      </c>
      <c r="B21" s="73" t="s">
        <v>113</v>
      </c>
      <c r="C21" s="215">
        <f t="shared" si="0"/>
        <v>8.5</v>
      </c>
      <c r="D21" s="201" cm="1">
        <f t="array" ref="D21">MAX(IF('INFORM-S Crises'!E:R=$B21,'INFORM-S Crises'!R:R))</f>
        <v>4.4000000000000004</v>
      </c>
    </row>
    <row r="22" spans="1:4" s="17" customFormat="1" ht="16" x14ac:dyDescent="0.2">
      <c r="A22" s="73" t="s">
        <v>84</v>
      </c>
      <c r="B22" s="73" t="s">
        <v>85</v>
      </c>
      <c r="C22" s="215">
        <f t="shared" si="0"/>
        <v>8.625</v>
      </c>
      <c r="D22" s="201" cm="1">
        <f t="array" ref="D22">MAX(IF('INFORM-S Crises'!E:R=$B22,'INFORM-S Crises'!R:R))</f>
        <v>4.45</v>
      </c>
    </row>
    <row r="23" spans="1:4" s="17" customFormat="1" ht="16" x14ac:dyDescent="0.2">
      <c r="A23" s="73" t="s">
        <v>81</v>
      </c>
      <c r="B23" s="73" t="s">
        <v>83</v>
      </c>
      <c r="C23" s="215">
        <f t="shared" si="0"/>
        <v>8.75</v>
      </c>
      <c r="D23" s="201" cm="1">
        <f t="array" ref="D23">MAX(IF('INFORM-S Crises'!E:R=$B23,'INFORM-S Crises'!R:R))</f>
        <v>4.5</v>
      </c>
    </row>
    <row r="24" spans="1:4" s="17" customFormat="1" ht="16" x14ac:dyDescent="0.2">
      <c r="A24" s="73" t="s">
        <v>106</v>
      </c>
      <c r="B24" s="73" t="s">
        <v>107</v>
      </c>
      <c r="C24" s="215">
        <f t="shared" si="0"/>
        <v>6.125</v>
      </c>
      <c r="D24" s="201" cm="1">
        <f t="array" ref="D24">MAX(IF('INFORM-S Crises'!E:R=$B24,'INFORM-S Crises'!R:R))</f>
        <v>3.45</v>
      </c>
    </row>
    <row r="25" spans="1:4" s="17" customFormat="1" ht="16" x14ac:dyDescent="0.2">
      <c r="A25" s="73" t="s">
        <v>65</v>
      </c>
      <c r="B25" s="73" t="s">
        <v>66</v>
      </c>
      <c r="C25" s="215">
        <f t="shared" si="0"/>
        <v>6.75</v>
      </c>
      <c r="D25" s="201" cm="1">
        <f t="array" ref="D25">MAX(IF('INFORM-S Crises'!E:R=$B25,'INFORM-S Crises'!R:R))</f>
        <v>3.7</v>
      </c>
    </row>
    <row r="26" spans="1:4" s="17" customFormat="1" ht="16" x14ac:dyDescent="0.2">
      <c r="A26" s="73" t="s">
        <v>100</v>
      </c>
      <c r="B26" s="73" t="s">
        <v>101</v>
      </c>
      <c r="C26" s="215">
        <f t="shared" si="0"/>
        <v>9.125</v>
      </c>
      <c r="D26" s="201" cm="1">
        <f t="array" ref="D26">MAX(IF('INFORM-S Crises'!E:R=$B26,'INFORM-S Crises'!R:R))</f>
        <v>4.6500000000000004</v>
      </c>
    </row>
    <row r="27" spans="1:4" s="17" customFormat="1" ht="16" x14ac:dyDescent="0.2">
      <c r="A27" s="73" t="s">
        <v>69</v>
      </c>
      <c r="B27" s="73" t="s">
        <v>70</v>
      </c>
      <c r="C27" s="215">
        <f t="shared" si="0"/>
        <v>9.875</v>
      </c>
      <c r="D27" s="201" cm="1">
        <f t="array" ref="D27">MAX(IF('INFORM-S Crises'!E:R=$B27,'INFORM-S Crises'!R:R))</f>
        <v>4.95</v>
      </c>
    </row>
    <row r="28" spans="1:4" s="17" customFormat="1" ht="16" x14ac:dyDescent="0.2">
      <c r="A28" s="73" t="s">
        <v>90</v>
      </c>
      <c r="B28" s="73" t="s">
        <v>91</v>
      </c>
      <c r="C28" s="215">
        <f t="shared" si="0"/>
        <v>3.125</v>
      </c>
      <c r="D28" s="201" cm="1">
        <f t="array" ref="D28">MAX(IF('INFORM-S Crises'!E:R=$B28,'INFORM-S Crises'!R:R))</f>
        <v>2.25</v>
      </c>
    </row>
    <row r="29" spans="1:4" s="17" customFormat="1" ht="16" x14ac:dyDescent="0.2">
      <c r="A29" s="73" t="s">
        <v>79</v>
      </c>
      <c r="B29" s="73" t="s">
        <v>80</v>
      </c>
      <c r="C29" s="215">
        <f t="shared" si="0"/>
        <v>9.375</v>
      </c>
      <c r="D29" s="201" cm="1">
        <f t="array" ref="D29">MAX(IF('INFORM-S Crises'!E:R=$B29,'INFORM-S Crises'!R:R))</f>
        <v>4.75</v>
      </c>
    </row>
    <row r="30" spans="1:4" s="17" customFormat="1" ht="16" x14ac:dyDescent="0.2">
      <c r="A30" s="73" t="s">
        <v>73</v>
      </c>
      <c r="B30" s="73" t="s">
        <v>74</v>
      </c>
      <c r="C30" s="215">
        <f t="shared" si="0"/>
        <v>9.9</v>
      </c>
      <c r="D30" s="201" cm="1">
        <f t="array" ref="D30">MAX(IF('INFORM-S Crises'!E:R=$B30,'INFORM-S Crises'!R:R))</f>
        <v>5</v>
      </c>
    </row>
    <row r="31" spans="1:4" s="17" customFormat="1" ht="16" x14ac:dyDescent="0.2">
      <c r="A31" s="73" t="s">
        <v>77</v>
      </c>
      <c r="B31" s="73" t="s">
        <v>78</v>
      </c>
      <c r="C31" s="215">
        <f t="shared" si="0"/>
        <v>7.625</v>
      </c>
      <c r="D31" s="201" cm="1">
        <f t="array" ref="D31">MAX(IF('INFORM-S Crises'!E:R=$B31,'INFORM-S Crises'!R:R))</f>
        <v>4.05</v>
      </c>
    </row>
    <row r="32" spans="1:4" s="17" customFormat="1" ht="16" x14ac:dyDescent="0.2">
      <c r="A32" s="73" t="s">
        <v>57</v>
      </c>
      <c r="B32" s="73" t="s">
        <v>58</v>
      </c>
      <c r="C32" s="215">
        <f t="shared" si="0"/>
        <v>9.375</v>
      </c>
      <c r="D32" s="201" cm="1">
        <f t="array" ref="D32">MAX(IF('INFORM-S Crises'!E:R=$B32,'INFORM-S Crises'!R:R))</f>
        <v>4.75</v>
      </c>
    </row>
    <row r="33" spans="1:4" s="17" customFormat="1" ht="16" x14ac:dyDescent="0.2">
      <c r="A33" s="73" t="s">
        <v>59</v>
      </c>
      <c r="B33" s="73" t="s">
        <v>60</v>
      </c>
      <c r="C33" s="215">
        <f t="shared" si="0"/>
        <v>9.125</v>
      </c>
      <c r="D33" s="201" cm="1">
        <f t="array" ref="D33">MAX(IF('INFORM-S Crises'!E:R=$B33,'INFORM-S Crises'!R:R))</f>
        <v>4.6500000000000004</v>
      </c>
    </row>
    <row r="34" spans="1:4" s="17" customFormat="1" ht="16" x14ac:dyDescent="0.2">
      <c r="A34" s="73" t="s">
        <v>53</v>
      </c>
      <c r="B34" s="73" t="s">
        <v>54</v>
      </c>
      <c r="C34" s="215">
        <f t="shared" si="0"/>
        <v>9.9</v>
      </c>
      <c r="D34" s="201" cm="1">
        <f t="array" ref="D34">MAX(IF('INFORM-S Crises'!E:R=$B34,'INFORM-S Crises'!R:R))</f>
        <v>5</v>
      </c>
    </row>
    <row r="35" spans="1:4" s="17" customFormat="1" ht="16" x14ac:dyDescent="0.2">
      <c r="A35" s="73" t="s">
        <v>55</v>
      </c>
      <c r="B35" s="73" t="s">
        <v>56</v>
      </c>
      <c r="C35" s="215">
        <f t="shared" si="0"/>
        <v>9.75</v>
      </c>
      <c r="D35" s="201" cm="1">
        <f t="array" ref="D35">MAX(IF('INFORM-S Crises'!E:R=$B35,'INFORM-S Crises'!R:R))</f>
        <v>4.9000000000000004</v>
      </c>
    </row>
    <row r="36" spans="1:4" s="17" customFormat="1" ht="16" x14ac:dyDescent="0.2">
      <c r="A36" s="73" t="s">
        <v>94</v>
      </c>
      <c r="B36" s="73" t="s">
        <v>95</v>
      </c>
      <c r="C36" s="215">
        <f t="shared" si="0"/>
        <v>6.875</v>
      </c>
      <c r="D36" s="201" cm="1">
        <f t="array" ref="D36">MAX(IF('INFORM-S Crises'!E:R=$B36,'INFORM-S Crises'!R:R))</f>
        <v>3.75</v>
      </c>
    </row>
    <row r="37" spans="1:4" s="17" customFormat="1" ht="16" x14ac:dyDescent="0.2">
      <c r="A37" s="73" t="s">
        <v>96</v>
      </c>
      <c r="B37" s="73" t="s">
        <v>97</v>
      </c>
      <c r="C37" s="215">
        <f t="shared" si="0"/>
        <v>6.875</v>
      </c>
      <c r="D37" s="201" cm="1">
        <f t="array" ref="D37">MAX(IF('INFORM-S Crises'!E:R=$B37,'INFORM-S Crises'!R:R))</f>
        <v>3.75</v>
      </c>
    </row>
    <row r="38" spans="1:4" s="17" customFormat="1" ht="16" x14ac:dyDescent="0.2">
      <c r="A38" s="73" t="s">
        <v>51</v>
      </c>
      <c r="B38" s="73" t="s">
        <v>52</v>
      </c>
      <c r="C38" s="215">
        <f t="shared" si="0"/>
        <v>8.8750000000000018</v>
      </c>
      <c r="D38" s="201" cm="1">
        <f t="array" ref="D38">MAX(IF('INFORM-S Crises'!E:R=$B38,'INFORM-S Crises'!R:R))</f>
        <v>4.5500000000000007</v>
      </c>
    </row>
    <row r="39" spans="1:4" x14ac:dyDescent="0.2">
      <c r="A39" s="39"/>
      <c r="B39" s="39"/>
      <c r="C39" s="205"/>
    </row>
    <row r="40" spans="1:4" x14ac:dyDescent="0.2">
      <c r="A40" s="39"/>
      <c r="B40" s="39"/>
      <c r="C40" s="206"/>
    </row>
    <row r="41" spans="1:4" x14ac:dyDescent="0.2">
      <c r="C41" s="228"/>
    </row>
  </sheetData>
  <sheetProtection sheet="1" objects="1" scenarios="1"/>
  <mergeCells count="1">
    <mergeCell ref="D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3A18-BD1A-4F86-B0D8-933196C97D4F}">
  <sheetPr>
    <tabColor rgb="FFFFF2CC"/>
  </sheetPr>
  <dimension ref="A1:G40"/>
  <sheetViews>
    <sheetView showGridLines="0" workbookViewId="0">
      <selection activeCell="D5" sqref="D5"/>
    </sheetView>
  </sheetViews>
  <sheetFormatPr baseColWidth="10" defaultColWidth="9" defaultRowHeight="14" x14ac:dyDescent="0.2"/>
  <cols>
    <col min="1" max="1" width="11.6640625" style="40" bestFit="1" customWidth="1"/>
    <col min="2" max="2" width="5.5" style="40" bestFit="1" customWidth="1"/>
    <col min="3" max="3" width="6.6640625" style="191" customWidth="1"/>
    <col min="4" max="16384" width="9" style="40"/>
  </cols>
  <sheetData>
    <row r="1" spans="1:7" s="17" customFormat="1" ht="27.75" customHeight="1" x14ac:dyDescent="0.2">
      <c r="A1" s="181"/>
      <c r="B1" s="181"/>
      <c r="C1" s="271"/>
      <c r="D1" s="375" t="s">
        <v>545</v>
      </c>
      <c r="E1" s="375"/>
      <c r="F1" s="267"/>
      <c r="G1" s="55"/>
    </row>
    <row r="2" spans="1:7" s="51" customFormat="1" ht="11" x14ac:dyDescent="0.15">
      <c r="A2" s="61" t="s">
        <v>122</v>
      </c>
      <c r="B2" s="61" t="s">
        <v>121</v>
      </c>
      <c r="C2" s="202"/>
      <c r="D2" s="207">
        <v>2</v>
      </c>
    </row>
    <row r="3" spans="1:7" s="51" customFormat="1" ht="11" x14ac:dyDescent="0.15">
      <c r="A3" s="61" t="s">
        <v>122</v>
      </c>
      <c r="B3" s="61" t="s">
        <v>123</v>
      </c>
      <c r="C3" s="202"/>
      <c r="D3" s="207">
        <v>5</v>
      </c>
    </row>
    <row r="4" spans="1:7" s="50" customFormat="1" ht="16" x14ac:dyDescent="0.2">
      <c r="A4" s="65" t="s">
        <v>124</v>
      </c>
      <c r="B4" s="65" t="s">
        <v>47</v>
      </c>
      <c r="C4" s="203" t="s">
        <v>125</v>
      </c>
      <c r="D4" s="71" t="s">
        <v>128</v>
      </c>
    </row>
    <row r="5" spans="1:7" s="17" customFormat="1" ht="16" x14ac:dyDescent="0.2">
      <c r="A5" s="73" t="s">
        <v>48</v>
      </c>
      <c r="B5" s="73" t="s">
        <v>50</v>
      </c>
      <c r="C5" s="204">
        <f>IF(((D5-$D$2)/($D$3-$D$2))*10&gt;9.9,9.9,((D5-$D$2)/($D$3-$D$2))*10)</f>
        <v>8.3333333333333339</v>
      </c>
      <c r="D5" s="201">
        <f>VLOOKUP($B5,'INFORM-S Countries'!$D$4:$U$86,11,FALSE)</f>
        <v>4.5</v>
      </c>
    </row>
    <row r="6" spans="1:7" s="17" customFormat="1" ht="16" x14ac:dyDescent="0.2">
      <c r="A6" s="73" t="s">
        <v>133</v>
      </c>
      <c r="B6" s="73" t="s">
        <v>134</v>
      </c>
      <c r="C6" s="204">
        <f t="shared" ref="C6:C38" si="0">IF(((D6-$D$2)/($D$3-$D$2))*10&gt;9.9,9.9,((D6-$D$2)/($D$3-$D$2))*10)</f>
        <v>8.3333333333333339</v>
      </c>
      <c r="D6" s="201">
        <f>VLOOKUP($B6,'INFORM-S Countries'!$D$4:$U$86,11,FALSE)</f>
        <v>4.5</v>
      </c>
    </row>
    <row r="7" spans="1:7" s="17" customFormat="1" ht="16" x14ac:dyDescent="0.2">
      <c r="A7" s="73" t="s">
        <v>98</v>
      </c>
      <c r="B7" s="73" t="s">
        <v>99</v>
      </c>
      <c r="C7" s="204">
        <f t="shared" si="0"/>
        <v>7.3333333333333339</v>
      </c>
      <c r="D7" s="201">
        <f>VLOOKUP($B7,'INFORM-S Countries'!$D$4:$U$86,11,FALSE)</f>
        <v>4.2</v>
      </c>
    </row>
    <row r="8" spans="1:7" s="17" customFormat="1" ht="16" x14ac:dyDescent="0.2">
      <c r="A8" s="73" t="s">
        <v>88</v>
      </c>
      <c r="B8" s="73" t="s">
        <v>89</v>
      </c>
      <c r="C8" s="204">
        <f t="shared" si="0"/>
        <v>4.166666666666667</v>
      </c>
      <c r="D8" s="201">
        <f>VLOOKUP($B8,'INFORM-S Countries'!$D$4:$U$86,11,FALSE)</f>
        <v>3.25</v>
      </c>
    </row>
    <row r="9" spans="1:7" s="17" customFormat="1" ht="16" x14ac:dyDescent="0.2">
      <c r="A9" s="73" t="s">
        <v>92</v>
      </c>
      <c r="B9" s="73" t="s">
        <v>93</v>
      </c>
      <c r="C9" s="204">
        <f t="shared" si="0"/>
        <v>7.1666666666666679</v>
      </c>
      <c r="D9" s="201">
        <f>VLOOKUP($B9,'INFORM-S Countries'!$D$4:$U$86,11,FALSE)</f>
        <v>4.1500000000000004</v>
      </c>
    </row>
    <row r="10" spans="1:7" s="17" customFormat="1" ht="16" x14ac:dyDescent="0.2">
      <c r="A10" s="73" t="s">
        <v>75</v>
      </c>
      <c r="B10" s="73" t="s">
        <v>76</v>
      </c>
      <c r="C10" s="204">
        <f t="shared" si="0"/>
        <v>6.9999999999999982</v>
      </c>
      <c r="D10" s="201">
        <f>VLOOKUP($B10,'INFORM-S Countries'!$D$4:$U$86,11,FALSE)</f>
        <v>4.0999999999999996</v>
      </c>
    </row>
    <row r="11" spans="1:7" s="17" customFormat="1" ht="16" x14ac:dyDescent="0.2">
      <c r="A11" s="73" t="s">
        <v>67</v>
      </c>
      <c r="B11" s="73" t="s">
        <v>68</v>
      </c>
      <c r="C11" s="204">
        <f t="shared" si="0"/>
        <v>9.3333333333333321</v>
      </c>
      <c r="D11" s="201">
        <f>VLOOKUP($B11,'INFORM-S Countries'!$D$4:$U$86,11,FALSE)</f>
        <v>4.8</v>
      </c>
    </row>
    <row r="12" spans="1:7" s="17" customFormat="1" ht="16" x14ac:dyDescent="0.2">
      <c r="A12" s="73" t="s">
        <v>104</v>
      </c>
      <c r="B12" s="73" t="s">
        <v>105</v>
      </c>
      <c r="C12" s="204">
        <f t="shared" si="0"/>
        <v>8.0000000000000018</v>
      </c>
      <c r="D12" s="201">
        <f>VLOOKUP($B12,'INFORM-S Countries'!$D$4:$U$86,11,FALSE)</f>
        <v>4.4000000000000004</v>
      </c>
    </row>
    <row r="13" spans="1:7" s="17" customFormat="1" ht="16" x14ac:dyDescent="0.2">
      <c r="A13" s="73" t="s">
        <v>63</v>
      </c>
      <c r="B13" s="73" t="s">
        <v>64</v>
      </c>
      <c r="C13" s="204">
        <f t="shared" si="0"/>
        <v>8.3333333333333339</v>
      </c>
      <c r="D13" s="201">
        <f>VLOOKUP($B13,'INFORM-S Countries'!$D$4:$U$86,11,FALSE)</f>
        <v>4.5</v>
      </c>
    </row>
    <row r="14" spans="1:7" s="17" customFormat="1" ht="16" x14ac:dyDescent="0.2">
      <c r="A14" s="73" t="s">
        <v>114</v>
      </c>
      <c r="B14" s="73" t="s">
        <v>115</v>
      </c>
      <c r="C14" s="204">
        <f t="shared" si="0"/>
        <v>5.6666666666666679</v>
      </c>
      <c r="D14" s="201">
        <f>VLOOKUP($B14,'INFORM-S Countries'!$D$4:$U$86,11,FALSE)</f>
        <v>3.7</v>
      </c>
    </row>
    <row r="15" spans="1:7" s="17" customFormat="1" ht="16" x14ac:dyDescent="0.2">
      <c r="A15" s="73" t="s">
        <v>61</v>
      </c>
      <c r="B15" s="73" t="s">
        <v>62</v>
      </c>
      <c r="C15" s="204">
        <f t="shared" si="0"/>
        <v>6.6666666666666661</v>
      </c>
      <c r="D15" s="201">
        <f>VLOOKUP($B15,'INFORM-S Countries'!$D$4:$U$86,11,FALSE)</f>
        <v>4</v>
      </c>
    </row>
    <row r="16" spans="1:7" s="17" customFormat="1" ht="16" x14ac:dyDescent="0.2">
      <c r="A16" s="73" t="s">
        <v>102</v>
      </c>
      <c r="B16" s="73" t="s">
        <v>103</v>
      </c>
      <c r="C16" s="204">
        <f t="shared" si="0"/>
        <v>5.8333333333333339</v>
      </c>
      <c r="D16" s="201">
        <f>VLOOKUP($B16,'INFORM-S Countries'!$D$4:$U$86,11,FALSE)</f>
        <v>3.75</v>
      </c>
    </row>
    <row r="17" spans="1:4" s="17" customFormat="1" ht="16" x14ac:dyDescent="0.2">
      <c r="A17" s="73" t="s">
        <v>71</v>
      </c>
      <c r="B17" s="73" t="s">
        <v>72</v>
      </c>
      <c r="C17" s="204">
        <f t="shared" si="0"/>
        <v>9.3333333333333321</v>
      </c>
      <c r="D17" s="201">
        <f>VLOOKUP($B17,'INFORM-S Countries'!$D$4:$U$86,11,FALSE)</f>
        <v>4.8</v>
      </c>
    </row>
    <row r="18" spans="1:4" s="17" customFormat="1" ht="16" x14ac:dyDescent="0.2">
      <c r="A18" s="73" t="s">
        <v>108</v>
      </c>
      <c r="B18" s="73" t="s">
        <v>109</v>
      </c>
      <c r="C18" s="204">
        <f t="shared" si="0"/>
        <v>6.8333333333333321</v>
      </c>
      <c r="D18" s="201">
        <f>VLOOKUP($B18,'INFORM-S Countries'!$D$4:$U$86,11,FALSE)</f>
        <v>4.05</v>
      </c>
    </row>
    <row r="19" spans="1:4" s="17" customFormat="1" ht="16" x14ac:dyDescent="0.2">
      <c r="A19" s="73" t="s">
        <v>110</v>
      </c>
      <c r="B19" s="73" t="s">
        <v>111</v>
      </c>
      <c r="C19" s="204">
        <f t="shared" si="0"/>
        <v>5.1666666666666661</v>
      </c>
      <c r="D19" s="201">
        <f>VLOOKUP($B19,'INFORM-S Countries'!$D$4:$U$86,11,FALSE)</f>
        <v>3.55</v>
      </c>
    </row>
    <row r="20" spans="1:4" s="17" customFormat="1" ht="16" x14ac:dyDescent="0.2">
      <c r="A20" s="73" t="s">
        <v>86</v>
      </c>
      <c r="B20" s="73" t="s">
        <v>87</v>
      </c>
      <c r="C20" s="204">
        <f t="shared" ref="C20" si="1">IF(((D20-$D$2)/($D$3-$D$2))*10&gt;9.9,9.9,((D20-$D$2)/($D$3-$D$2))*10)</f>
        <v>4.8333333333333339</v>
      </c>
      <c r="D20" s="201">
        <f>VLOOKUP($B20,'INFORM-S Countries'!$D$4:$U$86,11,FALSE)</f>
        <v>3.45</v>
      </c>
    </row>
    <row r="21" spans="1:4" s="17" customFormat="1" ht="16" x14ac:dyDescent="0.2">
      <c r="A21" s="73" t="s">
        <v>112</v>
      </c>
      <c r="B21" s="73" t="s">
        <v>113</v>
      </c>
      <c r="C21" s="204">
        <f t="shared" si="0"/>
        <v>5.4999999999999991</v>
      </c>
      <c r="D21" s="201">
        <f>VLOOKUP($B21,'INFORM-S Countries'!$D$4:$U$86,11,FALSE)</f>
        <v>3.65</v>
      </c>
    </row>
    <row r="22" spans="1:4" s="17" customFormat="1" ht="16" x14ac:dyDescent="0.2">
      <c r="A22" s="73" t="s">
        <v>84</v>
      </c>
      <c r="B22" s="73" t="s">
        <v>85</v>
      </c>
      <c r="C22" s="204">
        <f t="shared" si="0"/>
        <v>4.0000000000000009</v>
      </c>
      <c r="D22" s="201">
        <f>VLOOKUP($B22,'INFORM-S Countries'!$D$4:$U$86,11,FALSE)</f>
        <v>3.2</v>
      </c>
    </row>
    <row r="23" spans="1:4" s="17" customFormat="1" ht="16" x14ac:dyDescent="0.2">
      <c r="A23" s="73" t="s">
        <v>81</v>
      </c>
      <c r="B23" s="73" t="s">
        <v>83</v>
      </c>
      <c r="C23" s="204">
        <f t="shared" si="0"/>
        <v>4.8333333333333339</v>
      </c>
      <c r="D23" s="201">
        <f>VLOOKUP($B23,'INFORM-S Countries'!$D$4:$U$86,11,FALSE)</f>
        <v>3.45</v>
      </c>
    </row>
    <row r="24" spans="1:4" s="17" customFormat="1" ht="16" x14ac:dyDescent="0.2">
      <c r="A24" s="73" t="s">
        <v>106</v>
      </c>
      <c r="B24" s="73" t="s">
        <v>107</v>
      </c>
      <c r="C24" s="204">
        <f t="shared" si="0"/>
        <v>5.6666666666666679</v>
      </c>
      <c r="D24" s="201">
        <f>VLOOKUP($B24,'INFORM-S Countries'!$D$4:$U$86,11,FALSE)</f>
        <v>3.7</v>
      </c>
    </row>
    <row r="25" spans="1:4" s="17" customFormat="1" ht="16" x14ac:dyDescent="0.2">
      <c r="A25" s="73" t="s">
        <v>65</v>
      </c>
      <c r="B25" s="73" t="s">
        <v>66</v>
      </c>
      <c r="C25" s="204">
        <f t="shared" si="0"/>
        <v>8.1666666666666679</v>
      </c>
      <c r="D25" s="201">
        <f>VLOOKUP($B25,'INFORM-S Countries'!$D$4:$U$86,11,FALSE)</f>
        <v>4.45</v>
      </c>
    </row>
    <row r="26" spans="1:4" s="17" customFormat="1" ht="16" x14ac:dyDescent="0.2">
      <c r="A26" s="73" t="s">
        <v>100</v>
      </c>
      <c r="B26" s="73" t="s">
        <v>101</v>
      </c>
      <c r="C26" s="204">
        <f t="shared" si="0"/>
        <v>4.8333333333333339</v>
      </c>
      <c r="D26" s="201">
        <f>VLOOKUP($B26,'INFORM-S Countries'!$D$4:$U$86,11,FALSE)</f>
        <v>3.45</v>
      </c>
    </row>
    <row r="27" spans="1:4" s="17" customFormat="1" ht="16" x14ac:dyDescent="0.2">
      <c r="A27" s="73" t="s">
        <v>69</v>
      </c>
      <c r="B27" s="73" t="s">
        <v>70</v>
      </c>
      <c r="C27" s="204">
        <f t="shared" si="0"/>
        <v>8.3333333333333339</v>
      </c>
      <c r="D27" s="201">
        <f>VLOOKUP($B27,'INFORM-S Countries'!$D$4:$U$86,11,FALSE)</f>
        <v>4.5</v>
      </c>
    </row>
    <row r="28" spans="1:4" s="17" customFormat="1" ht="16" x14ac:dyDescent="0.2">
      <c r="A28" s="73" t="s">
        <v>90</v>
      </c>
      <c r="B28" s="73" t="s">
        <v>91</v>
      </c>
      <c r="C28" s="204">
        <f t="shared" si="0"/>
        <v>6.9999999999999982</v>
      </c>
      <c r="D28" s="201">
        <f>VLOOKUP($B28,'INFORM-S Countries'!$D$4:$U$86,11,FALSE)</f>
        <v>4.0999999999999996</v>
      </c>
    </row>
    <row r="29" spans="1:4" s="17" customFormat="1" ht="16" x14ac:dyDescent="0.2">
      <c r="A29" s="73" t="s">
        <v>79</v>
      </c>
      <c r="B29" s="73" t="s">
        <v>80</v>
      </c>
      <c r="C29" s="204">
        <f t="shared" si="0"/>
        <v>6.6666666666666661</v>
      </c>
      <c r="D29" s="201">
        <f>VLOOKUP($B29,'INFORM-S Countries'!$D$4:$U$86,11,FALSE)</f>
        <v>4</v>
      </c>
    </row>
    <row r="30" spans="1:4" s="17" customFormat="1" ht="16" x14ac:dyDescent="0.2">
      <c r="A30" s="73" t="s">
        <v>73</v>
      </c>
      <c r="B30" s="73" t="s">
        <v>74</v>
      </c>
      <c r="C30" s="204">
        <f t="shared" ref="C30" si="2">IF(((D30-$D$2)/($D$3-$D$2))*10&gt;9.9,9.9,((D30-$D$2)/($D$3-$D$2))*10)</f>
        <v>6.6666666666666661</v>
      </c>
      <c r="D30" s="201">
        <f>VLOOKUP($B30,'INFORM-S Countries'!$D$4:$U$86,11,FALSE)</f>
        <v>4</v>
      </c>
    </row>
    <row r="31" spans="1:4" s="17" customFormat="1" ht="16" x14ac:dyDescent="0.2">
      <c r="A31" s="73" t="s">
        <v>77</v>
      </c>
      <c r="B31" s="73" t="s">
        <v>78</v>
      </c>
      <c r="C31" s="204">
        <f t="shared" si="0"/>
        <v>8.6666666666666661</v>
      </c>
      <c r="D31" s="201">
        <f>VLOOKUP($B31,'INFORM-S Countries'!$D$4:$U$86,11,FALSE)</f>
        <v>4.5999999999999996</v>
      </c>
    </row>
    <row r="32" spans="1:4" s="17" customFormat="1" ht="16" x14ac:dyDescent="0.2">
      <c r="A32" s="73" t="s">
        <v>57</v>
      </c>
      <c r="B32" s="73" t="s">
        <v>58</v>
      </c>
      <c r="C32" s="204">
        <f t="shared" si="0"/>
        <v>9.4999999999999982</v>
      </c>
      <c r="D32" s="201">
        <f>VLOOKUP($B32,'INFORM-S Countries'!$D$4:$U$86,11,FALSE)</f>
        <v>4.8499999999999996</v>
      </c>
    </row>
    <row r="33" spans="1:4" s="17" customFormat="1" ht="16" x14ac:dyDescent="0.2">
      <c r="A33" s="73" t="s">
        <v>59</v>
      </c>
      <c r="B33" s="73" t="s">
        <v>60</v>
      </c>
      <c r="C33" s="204">
        <f t="shared" si="0"/>
        <v>6.5</v>
      </c>
      <c r="D33" s="201">
        <f>VLOOKUP($B33,'INFORM-S Countries'!$D$4:$U$86,11,FALSE)</f>
        <v>3.95</v>
      </c>
    </row>
    <row r="34" spans="1:4" s="17" customFormat="1" ht="16" x14ac:dyDescent="0.2">
      <c r="A34" s="73" t="s">
        <v>53</v>
      </c>
      <c r="B34" s="73" t="s">
        <v>54</v>
      </c>
      <c r="C34" s="204">
        <f t="shared" si="0"/>
        <v>9.9</v>
      </c>
      <c r="D34" s="201">
        <f>VLOOKUP($B34,'INFORM-S Countries'!$D$4:$U$86,11,FALSE)</f>
        <v>5</v>
      </c>
    </row>
    <row r="35" spans="1:4" s="17" customFormat="1" ht="16" x14ac:dyDescent="0.2">
      <c r="A35" s="73" t="s">
        <v>55</v>
      </c>
      <c r="B35" s="73" t="s">
        <v>56</v>
      </c>
      <c r="C35" s="204">
        <f t="shared" si="0"/>
        <v>8.3333333333333339</v>
      </c>
      <c r="D35" s="201">
        <f>VLOOKUP($B35,'INFORM-S Countries'!$D$4:$U$86,11,FALSE)</f>
        <v>4.5</v>
      </c>
    </row>
    <row r="36" spans="1:4" s="17" customFormat="1" ht="16" x14ac:dyDescent="0.2">
      <c r="A36" s="73" t="s">
        <v>94</v>
      </c>
      <c r="B36" s="73" t="s">
        <v>95</v>
      </c>
      <c r="C36" s="204">
        <f t="shared" si="0"/>
        <v>9.9</v>
      </c>
      <c r="D36" s="201">
        <v>5</v>
      </c>
    </row>
    <row r="37" spans="1:4" s="17" customFormat="1" ht="16" x14ac:dyDescent="0.2">
      <c r="A37" s="73" t="s">
        <v>96</v>
      </c>
      <c r="B37" s="73" t="s">
        <v>97</v>
      </c>
      <c r="C37" s="204">
        <f t="shared" si="0"/>
        <v>8.3333333333333339</v>
      </c>
      <c r="D37" s="201">
        <v>4.5</v>
      </c>
    </row>
    <row r="38" spans="1:4" s="17" customFormat="1" ht="16" x14ac:dyDescent="0.2">
      <c r="A38" s="73" t="s">
        <v>51</v>
      </c>
      <c r="B38" s="73" t="s">
        <v>52</v>
      </c>
      <c r="C38" s="204">
        <f t="shared" si="0"/>
        <v>9.9</v>
      </c>
      <c r="D38" s="201">
        <v>5</v>
      </c>
    </row>
    <row r="39" spans="1:4" x14ac:dyDescent="0.2">
      <c r="A39" s="39"/>
      <c r="B39" s="39"/>
      <c r="C39" s="205"/>
    </row>
    <row r="40" spans="1:4" x14ac:dyDescent="0.2">
      <c r="A40" s="39"/>
      <c r="B40" s="39"/>
      <c r="C40" s="206"/>
    </row>
  </sheetData>
  <sheetProtection sheet="1" objects="1" scenarios="1"/>
  <mergeCells count="1">
    <mergeCell ref="D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1DCB-C473-44B6-9761-35F0BF255BE3}">
  <sheetPr>
    <tabColor rgb="FFFFF2CC"/>
  </sheetPr>
  <dimension ref="A1:L1001"/>
  <sheetViews>
    <sheetView showGridLines="0" workbookViewId="0">
      <pane xSplit="2" ySplit="3" topLeftCell="C5" activePane="bottomRight" state="frozen"/>
      <selection pane="topRight"/>
      <selection pane="bottomLeft"/>
      <selection pane="bottomRight" activeCell="C30" sqref="C30"/>
    </sheetView>
  </sheetViews>
  <sheetFormatPr baseColWidth="10" defaultColWidth="11.1640625" defaultRowHeight="15" customHeight="1" x14ac:dyDescent="0.2"/>
  <cols>
    <col min="1" max="1" width="11.6640625" bestFit="1" customWidth="1"/>
    <col min="2" max="2" width="5.5" bestFit="1" customWidth="1"/>
    <col min="3" max="3" width="12.6640625" customWidth="1"/>
    <col min="4" max="5" width="14.5" style="19" customWidth="1"/>
    <col min="6" max="9" width="10.1640625" style="19" customWidth="1"/>
    <col min="10" max="10" width="12.6640625" style="19" customWidth="1"/>
  </cols>
  <sheetData>
    <row r="1" spans="1:12" s="31" customFormat="1" ht="101.25" customHeight="1" x14ac:dyDescent="0.2">
      <c r="C1" s="79" t="s">
        <v>546</v>
      </c>
      <c r="D1" s="78" t="s">
        <v>547</v>
      </c>
      <c r="E1" s="78" t="s">
        <v>548</v>
      </c>
      <c r="F1" s="78" t="s">
        <v>549</v>
      </c>
      <c r="G1" s="78" t="s">
        <v>550</v>
      </c>
      <c r="H1" s="78" t="s">
        <v>551</v>
      </c>
      <c r="I1" s="78" t="s">
        <v>552</v>
      </c>
    </row>
    <row r="2" spans="1:12" s="92" customFormat="1" ht="15.75" customHeight="1" x14ac:dyDescent="0.15">
      <c r="A2" s="87"/>
      <c r="B2" s="88" t="s">
        <v>121</v>
      </c>
      <c r="C2" s="91"/>
      <c r="D2" s="89"/>
      <c r="E2" s="90"/>
      <c r="F2" s="91">
        <v>0</v>
      </c>
      <c r="G2" s="91">
        <v>0</v>
      </c>
      <c r="H2" s="91"/>
      <c r="I2" s="91"/>
    </row>
    <row r="3" spans="1:12" s="92" customFormat="1" ht="15.75" customHeight="1" x14ac:dyDescent="0.15">
      <c r="A3" s="87"/>
      <c r="B3" s="88" t="s">
        <v>123</v>
      </c>
      <c r="C3" s="91"/>
      <c r="D3" s="90"/>
      <c r="E3" s="90"/>
      <c r="F3" s="91">
        <f>SQRT(5000000000)</f>
        <v>70710.67811865476</v>
      </c>
      <c r="G3" s="91">
        <f>SQRT(20000000)</f>
        <v>4472.1359549995796</v>
      </c>
      <c r="H3" s="91"/>
      <c r="I3" s="91"/>
    </row>
    <row r="4" spans="1:12" s="22" customFormat="1" ht="15.75" customHeight="1" x14ac:dyDescent="0.2">
      <c r="A4" s="15" t="s">
        <v>124</v>
      </c>
      <c r="B4" s="16" t="s">
        <v>47</v>
      </c>
      <c r="C4" s="107" t="s">
        <v>125</v>
      </c>
      <c r="D4" s="106" t="s">
        <v>128</v>
      </c>
      <c r="E4" s="106" t="s">
        <v>128</v>
      </c>
      <c r="F4" s="107" t="s">
        <v>155</v>
      </c>
      <c r="G4" s="107" t="s">
        <v>155</v>
      </c>
      <c r="H4" s="107" t="s">
        <v>155</v>
      </c>
      <c r="I4" s="107" t="s">
        <v>155</v>
      </c>
    </row>
    <row r="5" spans="1:12" ht="15.75" customHeight="1" x14ac:dyDescent="0.2">
      <c r="A5" t="s">
        <v>48</v>
      </c>
      <c r="B5" t="s">
        <v>50</v>
      </c>
      <c r="C5" s="77">
        <f>IF((AVERAGE(H5:I5)*8)+2&gt;9.9,9.9,(AVERAGE(H5:I5)*8)+2)</f>
        <v>9.1736573099196494</v>
      </c>
      <c r="D5" s="21">
        <f>VLOOKUP($B5,'Humanitarian Insight'!$B:$N,9,FALSE)</f>
        <v>3227372908</v>
      </c>
      <c r="E5" s="21">
        <f>VLOOKUP($B5,'Humanitarian Insight'!$B:$N,13,FALSE)</f>
        <v>21325750</v>
      </c>
      <c r="F5" s="81">
        <f t="shared" ref="F5:F38" si="0">SQRT(D5)</f>
        <v>56809.971906347571</v>
      </c>
      <c r="G5" s="81">
        <f t="shared" ref="G5:G38" si="1">SQRT(E5)</f>
        <v>4617.9811606371895</v>
      </c>
      <c r="H5" s="103">
        <f>IF(((F5-$F$2)/($F$3-$F$2))&gt;0.99,0.99,((F5-$F$2)/($F$3-$F$2)))</f>
        <v>0.80341432747991237</v>
      </c>
      <c r="I5" s="103">
        <f>IF(((G5-$G$2)/($G$3-$G$2))&gt;0.99,0.99,((G5-$G$2)/($G$3-$G$2)))</f>
        <v>0.99</v>
      </c>
      <c r="J5" s="258"/>
      <c r="K5" s="231"/>
      <c r="L5" s="231"/>
    </row>
    <row r="6" spans="1:12" ht="15.75" customHeight="1" x14ac:dyDescent="0.2">
      <c r="A6" t="s">
        <v>133</v>
      </c>
      <c r="B6" t="s">
        <v>134</v>
      </c>
      <c r="C6" s="77">
        <f t="shared" ref="C6:C38" si="2">IF((AVERAGE(H6:I6)*8)+2&gt;9.9,9.9,(AVERAGE(H6:I6)*8)+2)</f>
        <v>4.7598322669786661</v>
      </c>
      <c r="D6" s="21">
        <f>VLOOKUP($B6,'Humanitarian Insight'!$B:$N,9,FALSE)</f>
        <v>875927365</v>
      </c>
      <c r="E6" s="21">
        <f>VLOOKUP($B6,'Humanitarian Insight'!$B:$N,13,FALSE)</f>
        <v>1473229</v>
      </c>
      <c r="F6" s="81">
        <f t="shared" si="0"/>
        <v>29596.070093848608</v>
      </c>
      <c r="G6" s="81">
        <f t="shared" si="1"/>
        <v>1213.7664519997247</v>
      </c>
      <c r="H6" s="103">
        <f t="shared" ref="H6:H38" si="3">IF(((F6-$F$2)/($F$3-$F$2))&gt;0.99,0.99,((F6-$F$2)/($F$3-$F$2)))</f>
        <v>0.41855163719665456</v>
      </c>
      <c r="I6" s="103">
        <f t="shared" ref="I6:I38" si="4">IF(((G6-$G$2)/($G$3-$G$2))&gt;0.99,0.99,((G6-$G$2)/($G$3-$G$2)))</f>
        <v>0.27140642954801197</v>
      </c>
      <c r="J6" s="258"/>
      <c r="K6" s="231"/>
      <c r="L6" s="231"/>
    </row>
    <row r="7" spans="1:12" ht="15.75" customHeight="1" x14ac:dyDescent="0.2">
      <c r="A7" t="s">
        <v>98</v>
      </c>
      <c r="B7" t="s">
        <v>99</v>
      </c>
      <c r="C7" s="77">
        <f t="shared" si="2"/>
        <v>5.2560835665163665</v>
      </c>
      <c r="D7" s="21">
        <f>VLOOKUP($B7,'Humanitarian Insight'!$B:$N,9,FALSE)</f>
        <v>876731475</v>
      </c>
      <c r="E7" s="21">
        <f>VLOOKUP($B7,'Humanitarian Insight'!$B:$N,13,FALSE)</f>
        <v>3124881</v>
      </c>
      <c r="F7" s="81">
        <f t="shared" si="0"/>
        <v>29609.651720342812</v>
      </c>
      <c r="G7" s="81">
        <f t="shared" si="1"/>
        <v>1767.7332943631513</v>
      </c>
      <c r="H7" s="103">
        <f t="shared" si="3"/>
        <v>0.41874371040052644</v>
      </c>
      <c r="I7" s="103">
        <f t="shared" si="4"/>
        <v>0.3952771812285652</v>
      </c>
      <c r="J7" s="258"/>
      <c r="K7" s="231"/>
      <c r="L7" s="231"/>
    </row>
    <row r="8" spans="1:12" ht="15.75" customHeight="1" x14ac:dyDescent="0.2">
      <c r="A8" t="s">
        <v>88</v>
      </c>
      <c r="B8" t="s">
        <v>89</v>
      </c>
      <c r="C8" s="77">
        <f t="shared" si="2"/>
        <v>4.0039360770591745</v>
      </c>
      <c r="D8" s="21">
        <f>VLOOKUP($B8,'Humanitarian Insight'!$B:$N,9,FALSE)</f>
        <v>237180119</v>
      </c>
      <c r="E8" s="21">
        <f>VLOOKUP($B8,'Humanitarian Insight'!$B:$N,13,FALSE)</f>
        <v>1603885</v>
      </c>
      <c r="F8" s="81">
        <f t="shared" si="0"/>
        <v>15400.653200432766</v>
      </c>
      <c r="G8" s="81">
        <f t="shared" si="1"/>
        <v>1266.4458140797024</v>
      </c>
      <c r="H8" s="103">
        <f t="shared" si="3"/>
        <v>0.21779812625456627</v>
      </c>
      <c r="I8" s="103">
        <f t="shared" si="4"/>
        <v>0.28318589301022745</v>
      </c>
      <c r="J8" s="258"/>
      <c r="K8" s="231"/>
      <c r="L8" s="231"/>
    </row>
    <row r="9" spans="1:12" ht="15.75" customHeight="1" x14ac:dyDescent="0.2">
      <c r="A9" t="s">
        <v>92</v>
      </c>
      <c r="B9" t="s">
        <v>93</v>
      </c>
      <c r="C9" s="77">
        <f t="shared" si="2"/>
        <v>4.6119376553475737</v>
      </c>
      <c r="D9" s="21">
        <f>VLOOKUP($B9,'Humanitarian Insight'!$B:$N,9,FALSE)</f>
        <v>407309869</v>
      </c>
      <c r="E9" s="21">
        <f>VLOOKUP($B9,'Humanitarian Insight'!$B:$N,13,FALSE)</f>
        <v>2702139</v>
      </c>
      <c r="F9" s="81">
        <f t="shared" si="0"/>
        <v>20181.919358673495</v>
      </c>
      <c r="G9" s="81">
        <f t="shared" si="1"/>
        <v>1643.8184206292372</v>
      </c>
      <c r="H9" s="103">
        <f t="shared" si="3"/>
        <v>0.2854154407175617</v>
      </c>
      <c r="I9" s="103">
        <f t="shared" si="4"/>
        <v>0.36756897311933168</v>
      </c>
      <c r="J9" s="258"/>
      <c r="K9" s="231"/>
      <c r="L9" s="231"/>
    </row>
    <row r="10" spans="1:12" ht="15.75" customHeight="1" x14ac:dyDescent="0.2">
      <c r="A10" t="s">
        <v>75</v>
      </c>
      <c r="B10" t="s">
        <v>76</v>
      </c>
      <c r="C10" s="77">
        <f t="shared" si="2"/>
        <v>4.7022648134518086</v>
      </c>
      <c r="D10" s="21">
        <f>VLOOKUP($B10,'Humanitarian Insight'!$B:$N,9,FALSE)</f>
        <v>533305798</v>
      </c>
      <c r="E10" s="21">
        <f>VLOOKUP($B10,'Humanitarian Insight'!$B:$N,13,FALSE)</f>
        <v>2435685</v>
      </c>
      <c r="F10" s="81">
        <f t="shared" si="0"/>
        <v>23093.414602435907</v>
      </c>
      <c r="G10" s="81">
        <f t="shared" si="1"/>
        <v>1560.6681261562305</v>
      </c>
      <c r="H10" s="103">
        <f t="shared" si="3"/>
        <v>0.32659020132269734</v>
      </c>
      <c r="I10" s="103">
        <f t="shared" si="4"/>
        <v>0.34897600204025492</v>
      </c>
      <c r="J10" s="258"/>
      <c r="K10" s="231"/>
      <c r="L10" s="231"/>
    </row>
    <row r="11" spans="1:12" ht="15.75" customHeight="1" x14ac:dyDescent="0.2">
      <c r="A11" t="s">
        <v>67</v>
      </c>
      <c r="B11" t="s">
        <v>68</v>
      </c>
      <c r="C11" s="77">
        <f t="shared" si="2"/>
        <v>5.7614081181326204</v>
      </c>
      <c r="D11" s="21">
        <f>VLOOKUP($B11,'Humanitarian Insight'!$B:$N,9,FALSE)</f>
        <v>920624766</v>
      </c>
      <c r="E11" s="21">
        <f>VLOOKUP($B11,'Humanitarian Insight'!$B:$N,13,FALSE)</f>
        <v>5227617</v>
      </c>
      <c r="F11" s="81">
        <f t="shared" si="0"/>
        <v>30341.798990831114</v>
      </c>
      <c r="G11" s="81">
        <f t="shared" si="1"/>
        <v>2286.3982592715556</v>
      </c>
      <c r="H11" s="103">
        <f t="shared" si="3"/>
        <v>0.42909783639631643</v>
      </c>
      <c r="I11" s="103">
        <f t="shared" si="4"/>
        <v>0.51125419313683873</v>
      </c>
      <c r="J11" s="258"/>
      <c r="K11" s="231"/>
      <c r="L11" s="231"/>
    </row>
    <row r="12" spans="1:12" ht="15.75" customHeight="1" x14ac:dyDescent="0.2">
      <c r="A12" t="s">
        <v>104</v>
      </c>
      <c r="B12" t="s">
        <v>105</v>
      </c>
      <c r="C12" s="77">
        <f t="shared" si="2"/>
        <v>4.0713506447022585</v>
      </c>
      <c r="D12" s="21">
        <f>VLOOKUP($B12,'Humanitarian Insight'!$B:$N,9,FALSE)</f>
        <v>283317893</v>
      </c>
      <c r="E12" s="21">
        <f>VLOOKUP($B12,'Humanitarian Insight'!$B:$N,13,FALSE)</f>
        <v>1565722</v>
      </c>
      <c r="F12" s="81">
        <f t="shared" si="0"/>
        <v>16832.049578111397</v>
      </c>
      <c r="G12" s="81">
        <f t="shared" si="1"/>
        <v>1251.2881362819676</v>
      </c>
      <c r="H12" s="103">
        <f t="shared" si="3"/>
        <v>0.23804112795901466</v>
      </c>
      <c r="I12" s="103">
        <f t="shared" si="4"/>
        <v>0.27979653321655001</v>
      </c>
      <c r="J12" s="258"/>
      <c r="K12" s="231"/>
      <c r="L12" s="231"/>
    </row>
    <row r="13" spans="1:12" ht="15.75" customHeight="1" x14ac:dyDescent="0.2">
      <c r="A13" t="s">
        <v>63</v>
      </c>
      <c r="B13" t="s">
        <v>64</v>
      </c>
      <c r="C13" s="77">
        <f t="shared" si="2"/>
        <v>7.5171004919424531</v>
      </c>
      <c r="D13" s="21">
        <f>VLOOKUP($B13,'Humanitarian Insight'!$B:$N,9,FALSE)</f>
        <v>2252684083</v>
      </c>
      <c r="E13" s="21">
        <f>VLOOKUP($B13,'Humanitarian Insight'!$B:$N,13,FALSE)</f>
        <v>10026830</v>
      </c>
      <c r="F13" s="81">
        <f t="shared" si="0"/>
        <v>47462.449188806095</v>
      </c>
      <c r="G13" s="81">
        <f t="shared" si="1"/>
        <v>3166.5170140076621</v>
      </c>
      <c r="H13" s="103">
        <f t="shared" si="3"/>
        <v>0.6712203934625347</v>
      </c>
      <c r="I13" s="103">
        <f t="shared" si="4"/>
        <v>0.70805472952307857</v>
      </c>
      <c r="J13" s="258"/>
      <c r="K13" s="231"/>
      <c r="L13" s="231"/>
    </row>
    <row r="14" spans="1:12" ht="15.75" customHeight="1" x14ac:dyDescent="0.2">
      <c r="A14" t="s">
        <v>114</v>
      </c>
      <c r="B14" t="s">
        <v>115</v>
      </c>
      <c r="C14" s="77">
        <f t="shared" si="2"/>
        <v>3.1914689617589338</v>
      </c>
      <c r="D14" s="21">
        <f>VLOOKUP($B14,'Humanitarian Insight'!$B:$N,9,FALSE)</f>
        <v>98416155</v>
      </c>
      <c r="E14" s="21">
        <f>VLOOKUP($B14,'Humanitarian Insight'!$B:$N,13,FALSE)</f>
        <v>496568</v>
      </c>
      <c r="F14" s="81">
        <f t="shared" si="0"/>
        <v>9920.4916712832328</v>
      </c>
      <c r="G14" s="81">
        <f t="shared" si="1"/>
        <v>704.67581198732796</v>
      </c>
      <c r="H14" s="103">
        <f t="shared" si="3"/>
        <v>0.14029693866938078</v>
      </c>
      <c r="I14" s="103">
        <f t="shared" si="4"/>
        <v>0.15757030177035264</v>
      </c>
      <c r="J14" s="258"/>
      <c r="K14" s="231"/>
      <c r="L14" s="231"/>
    </row>
    <row r="15" spans="1:12" ht="15.75" customHeight="1" x14ac:dyDescent="0.2">
      <c r="A15" t="s">
        <v>61</v>
      </c>
      <c r="B15" t="s">
        <v>62</v>
      </c>
      <c r="C15" s="77">
        <f t="shared" si="2"/>
        <v>9.5353885419070181</v>
      </c>
      <c r="D15" s="21">
        <f>VLOOKUP($B15,'Humanitarian Insight'!$B:$N,9,FALSE)</f>
        <v>3994813508</v>
      </c>
      <c r="E15" s="21">
        <f>VLOOKUP($B15,'Humanitarian Insight'!$B:$N,13,FALSE)</f>
        <v>20100000</v>
      </c>
      <c r="F15" s="81">
        <f t="shared" si="0"/>
        <v>63204.537083978394</v>
      </c>
      <c r="G15" s="81">
        <f t="shared" si="1"/>
        <v>4483.3023542919791</v>
      </c>
      <c r="H15" s="103">
        <f t="shared" si="3"/>
        <v>0.89384713547675465</v>
      </c>
      <c r="I15" s="103">
        <f t="shared" si="4"/>
        <v>0.99</v>
      </c>
      <c r="J15" s="258"/>
      <c r="K15" s="231"/>
      <c r="L15" s="231"/>
    </row>
    <row r="16" spans="1:12" ht="15.75" customHeight="1" x14ac:dyDescent="0.2">
      <c r="A16" t="s">
        <v>102</v>
      </c>
      <c r="B16" t="s">
        <v>103</v>
      </c>
      <c r="C16" s="77">
        <f t="shared" si="2"/>
        <v>3.9918124482559727</v>
      </c>
      <c r="D16" s="21">
        <f>VLOOKUP($B16,'Humanitarian Insight'!$B:$N,9,FALSE)</f>
        <v>126145348</v>
      </c>
      <c r="E16" s="21">
        <f>VLOOKUP($B16,'Humanitarian Insight'!$B:$N,13,FALSE)</f>
        <v>2300000</v>
      </c>
      <c r="F16" s="81">
        <f t="shared" si="0"/>
        <v>11231.444608775846</v>
      </c>
      <c r="G16" s="81">
        <f t="shared" si="1"/>
        <v>1516.57508881031</v>
      </c>
      <c r="H16" s="103">
        <f t="shared" si="3"/>
        <v>0.1588366129077298</v>
      </c>
      <c r="I16" s="103">
        <f t="shared" si="4"/>
        <v>0.33911649915626335</v>
      </c>
      <c r="J16" s="258"/>
      <c r="K16" s="231"/>
      <c r="L16" s="231"/>
    </row>
    <row r="17" spans="1:12" ht="15.75" customHeight="1" x14ac:dyDescent="0.2">
      <c r="A17" t="s">
        <v>71</v>
      </c>
      <c r="B17" t="s">
        <v>72</v>
      </c>
      <c r="C17" s="77">
        <f t="shared" si="2"/>
        <v>5.1052830175892341</v>
      </c>
      <c r="D17" s="21">
        <f>VLOOKUP($B17,'Humanitarian Insight'!$B:$N,9,FALSE)</f>
        <v>719857713</v>
      </c>
      <c r="E17" s="21">
        <f>VLOOKUP($B17,'Humanitarian Insight'!$B:$N,13,FALSE)</f>
        <v>3150353</v>
      </c>
      <c r="F17" s="81">
        <f t="shared" si="0"/>
        <v>26830.164237290832</v>
      </c>
      <c r="G17" s="81">
        <f t="shared" si="1"/>
        <v>1774.923378627934</v>
      </c>
      <c r="H17" s="103">
        <f t="shared" si="3"/>
        <v>0.37943582145074278</v>
      </c>
      <c r="I17" s="103">
        <f t="shared" si="4"/>
        <v>0.39688493294656574</v>
      </c>
      <c r="J17" s="258"/>
      <c r="K17" s="231"/>
      <c r="L17" s="231"/>
    </row>
    <row r="18" spans="1:12" ht="15.75" customHeight="1" x14ac:dyDescent="0.2">
      <c r="A18" t="s">
        <v>108</v>
      </c>
      <c r="B18" t="s">
        <v>109</v>
      </c>
      <c r="C18" s="77">
        <f t="shared" si="2"/>
        <v>4.2433306885072986</v>
      </c>
      <c r="D18" s="21">
        <f>VLOOKUP($B18,'Humanitarian Insight'!$B:$N,9,FALSE)</f>
        <v>280360869</v>
      </c>
      <c r="E18" s="21">
        <f>VLOOKUP($B18,'Humanitarian Insight'!$B:$N,13,FALSE)</f>
        <v>2100000</v>
      </c>
      <c r="F18" s="81">
        <f t="shared" si="0"/>
        <v>16743.980082405735</v>
      </c>
      <c r="G18" s="81">
        <f t="shared" si="1"/>
        <v>1449.1376746189439</v>
      </c>
      <c r="H18" s="103">
        <f t="shared" si="3"/>
        <v>0.23679563720643163</v>
      </c>
      <c r="I18" s="103">
        <f t="shared" si="4"/>
        <v>0.32403703492039304</v>
      </c>
      <c r="J18" s="258"/>
      <c r="K18" s="231"/>
      <c r="L18" s="231"/>
    </row>
    <row r="19" spans="1:12" ht="15.75" customHeight="1" x14ac:dyDescent="0.2">
      <c r="A19" t="s">
        <v>110</v>
      </c>
      <c r="B19" t="s">
        <v>111</v>
      </c>
      <c r="C19" s="77">
        <f t="shared" si="2"/>
        <v>2</v>
      </c>
      <c r="D19" s="21">
        <f>VLOOKUP($B19,'Humanitarian Insight'!$B:$N,9,FALSE)</f>
        <v>0</v>
      </c>
      <c r="E19" s="21">
        <f>VLOOKUP($B19,'Humanitarian Insight'!$B:$N,13,FALSE)</f>
        <v>0</v>
      </c>
      <c r="F19" s="81">
        <f t="shared" si="0"/>
        <v>0</v>
      </c>
      <c r="G19" s="81">
        <f t="shared" si="1"/>
        <v>0</v>
      </c>
      <c r="H19" s="103">
        <f t="shared" si="3"/>
        <v>0</v>
      </c>
      <c r="I19" s="103">
        <f t="shared" si="4"/>
        <v>0</v>
      </c>
      <c r="J19" s="258"/>
      <c r="K19" s="231"/>
      <c r="L19" s="231"/>
    </row>
    <row r="20" spans="1:12" ht="15.75" customHeight="1" x14ac:dyDescent="0.2">
      <c r="A20" t="s">
        <v>86</v>
      </c>
      <c r="B20" t="s">
        <v>87</v>
      </c>
      <c r="C20" s="77">
        <f t="shared" ref="C20" si="5">IF((AVERAGE(H20:I20)*8)+2&gt;9.9,9.9,(AVERAGE(H20:I20)*8)+2)</f>
        <v>5.0488189941732164</v>
      </c>
      <c r="D20" s="21">
        <f>VLOOKUP($B20,'Humanitarian Insight'!$B:$N,9,FALSE)</f>
        <v>451825224</v>
      </c>
      <c r="E20" s="21">
        <f>VLOOKUP($B20,'Humanitarian Insight'!$B:$N,13,FALSE)</f>
        <v>4261435</v>
      </c>
      <c r="F20" s="81">
        <f t="shared" ref="F20" si="6">SQRT(D20)</f>
        <v>21256.180842286791</v>
      </c>
      <c r="G20" s="81">
        <f t="shared" ref="G20" si="7">SQRT(E20)</f>
        <v>2064.324344670672</v>
      </c>
      <c r="H20" s="103">
        <f t="shared" ref="H20" si="8">IF(((F20-$F$2)/($F$3-$F$2))&gt;0.99,0.99,((F20-$F$2)/($F$3-$F$2)))</f>
        <v>0.30060779231417134</v>
      </c>
      <c r="I20" s="103">
        <f t="shared" ref="I20" si="9">IF(((G20-$G$2)/($G$3-$G$2))&gt;0.99,0.99,((G20-$G$2)/($G$3-$G$2)))</f>
        <v>0.46159695622913283</v>
      </c>
      <c r="J20" s="258"/>
      <c r="K20" s="231"/>
      <c r="L20" s="231"/>
    </row>
    <row r="21" spans="1:12" ht="15.75" customHeight="1" x14ac:dyDescent="0.2">
      <c r="A21" t="s">
        <v>112</v>
      </c>
      <c r="B21" t="s">
        <v>113</v>
      </c>
      <c r="C21" s="77">
        <f t="shared" si="2"/>
        <v>3.8038809422622162</v>
      </c>
      <c r="D21" s="21">
        <f>VLOOKUP($B21,'Humanitarian Insight'!$B:$N,9,FALSE)</f>
        <v>200203540</v>
      </c>
      <c r="E21" s="21">
        <f>VLOOKUP($B21,'Humanitarian Insight'!$B:$N,13,FALSE)</f>
        <v>1258700</v>
      </c>
      <c r="F21" s="81">
        <f t="shared" si="0"/>
        <v>14149.330019474421</v>
      </c>
      <c r="G21" s="81">
        <f t="shared" si="1"/>
        <v>1121.918000568669</v>
      </c>
      <c r="H21" s="103">
        <f t="shared" si="3"/>
        <v>0.20010174412033493</v>
      </c>
      <c r="I21" s="103">
        <f t="shared" si="4"/>
        <v>0.25086849144521917</v>
      </c>
      <c r="J21" s="258"/>
      <c r="K21" s="231"/>
      <c r="L21" s="231"/>
    </row>
    <row r="22" spans="1:12" ht="15.75" customHeight="1" x14ac:dyDescent="0.2">
      <c r="A22" t="s">
        <v>84</v>
      </c>
      <c r="B22" t="s">
        <v>85</v>
      </c>
      <c r="C22" s="77">
        <f t="shared" si="2"/>
        <v>2.7946930222290809</v>
      </c>
      <c r="D22" s="21">
        <f>VLOOKUP($B22,'Humanitarian Insight'!$B:$N,9,FALSE)</f>
        <v>37731860</v>
      </c>
      <c r="E22" s="21">
        <f>VLOOKUP($B22,'Humanitarian Insight'!$B:$N,13,FALSE)</f>
        <v>250000</v>
      </c>
      <c r="F22" s="81">
        <f t="shared" si="0"/>
        <v>6142.6264740744246</v>
      </c>
      <c r="G22" s="81">
        <f t="shared" si="1"/>
        <v>500</v>
      </c>
      <c r="H22" s="103">
        <f t="shared" si="3"/>
        <v>8.6869856682280755E-2</v>
      </c>
      <c r="I22" s="103">
        <f t="shared" si="4"/>
        <v>0.11180339887498948</v>
      </c>
      <c r="J22" s="258"/>
      <c r="K22" s="231"/>
      <c r="L22" s="231"/>
    </row>
    <row r="23" spans="1:12" ht="15.75" customHeight="1" x14ac:dyDescent="0.2">
      <c r="A23" t="s">
        <v>81</v>
      </c>
      <c r="B23" t="s">
        <v>83</v>
      </c>
      <c r="C23" s="77">
        <f t="shared" si="2"/>
        <v>4.0772491113406986</v>
      </c>
      <c r="D23" s="21">
        <f>VLOOKUP($B23,'Humanitarian Insight'!$B:$N,9,FALSE)</f>
        <v>214681354</v>
      </c>
      <c r="E23" s="21">
        <f>VLOOKUP($B23,'Humanitarian Insight'!$B:$N,13,FALSE)</f>
        <v>1948148</v>
      </c>
      <c r="F23" s="81">
        <f t="shared" si="0"/>
        <v>14652.008531256048</v>
      </c>
      <c r="G23" s="81">
        <f t="shared" si="1"/>
        <v>1395.7607244796652</v>
      </c>
      <c r="H23" s="103">
        <f t="shared" si="3"/>
        <v>0.20721069180908594</v>
      </c>
      <c r="I23" s="103">
        <f t="shared" si="4"/>
        <v>0.31210158602608862</v>
      </c>
      <c r="J23" s="258"/>
      <c r="K23" s="231"/>
      <c r="L23" s="231"/>
    </row>
    <row r="24" spans="1:12" ht="15.75" customHeight="1" x14ac:dyDescent="0.2">
      <c r="A24" t="s">
        <v>106</v>
      </c>
      <c r="B24" t="s">
        <v>107</v>
      </c>
      <c r="C24" s="77">
        <f t="shared" si="2"/>
        <v>4.571388819434639</v>
      </c>
      <c r="D24" s="21">
        <f>VLOOKUP($B24,'Humanitarian Insight'!$B:$N,9,FALSE)</f>
        <v>115945732</v>
      </c>
      <c r="E24" s="21">
        <f>VLOOKUP($B24,'Humanitarian Insight'!$B:$N,13,FALSE)</f>
        <v>4813127</v>
      </c>
      <c r="F24" s="81">
        <f t="shared" si="0"/>
        <v>10767.809990894157</v>
      </c>
      <c r="G24" s="81">
        <f t="shared" si="1"/>
        <v>2193.8839987565434</v>
      </c>
      <c r="H24" s="103">
        <f t="shared" si="3"/>
        <v>0.15227982926179029</v>
      </c>
      <c r="I24" s="103">
        <f t="shared" si="4"/>
        <v>0.49056737559686947</v>
      </c>
      <c r="J24" s="258"/>
      <c r="K24" s="231"/>
      <c r="L24" s="231"/>
    </row>
    <row r="25" spans="1:12" ht="15.75" customHeight="1" x14ac:dyDescent="0.2">
      <c r="A25" t="s">
        <v>65</v>
      </c>
      <c r="B25" t="s">
        <v>66</v>
      </c>
      <c r="C25" s="77">
        <f t="shared" si="2"/>
        <v>5.6770466505186912</v>
      </c>
      <c r="D25" s="21">
        <f>VLOOKUP($B25,'Humanitarian Insight'!$B:$N,9,FALSE)</f>
        <v>751470941</v>
      </c>
      <c r="E25" s="21">
        <f>VLOOKUP($B25,'Humanitarian Insight'!$B:$N,13,FALSE)</f>
        <v>5651625</v>
      </c>
      <c r="F25" s="81">
        <f t="shared" si="0"/>
        <v>27412.970306043087</v>
      </c>
      <c r="G25" s="81">
        <f t="shared" si="1"/>
        <v>2377.3146615456694</v>
      </c>
      <c r="H25" s="103">
        <f t="shared" si="3"/>
        <v>0.38767794391737065</v>
      </c>
      <c r="I25" s="103">
        <f t="shared" si="4"/>
        <v>0.53158371871230214</v>
      </c>
      <c r="J25" s="258"/>
      <c r="K25" s="231"/>
      <c r="L25" s="231"/>
    </row>
    <row r="26" spans="1:12" ht="15.75" customHeight="1" x14ac:dyDescent="0.2">
      <c r="A26" t="s">
        <v>100</v>
      </c>
      <c r="B26" t="s">
        <v>101</v>
      </c>
      <c r="C26" s="77">
        <f t="shared" si="2"/>
        <v>4.4002078456713534</v>
      </c>
      <c r="D26" s="21">
        <f>VLOOKUP($B26,'Humanitarian Insight'!$B:$N,9,FALSE)</f>
        <v>512912994</v>
      </c>
      <c r="E26" s="21">
        <f>VLOOKUP($B26,'Humanitarian Insight'!$B:$N,13,FALSE)</f>
        <v>1565389</v>
      </c>
      <c r="F26" s="81">
        <f t="shared" si="0"/>
        <v>22647.582519995372</v>
      </c>
      <c r="G26" s="81">
        <f t="shared" si="1"/>
        <v>1251.1550663287105</v>
      </c>
      <c r="H26" s="103">
        <f t="shared" si="3"/>
        <v>0.32028518354741292</v>
      </c>
      <c r="I26" s="103">
        <f t="shared" si="4"/>
        <v>0.27976677787042548</v>
      </c>
      <c r="J26" s="258"/>
      <c r="K26" s="231"/>
      <c r="L26" s="231"/>
    </row>
    <row r="27" spans="1:12" ht="15.75" customHeight="1" x14ac:dyDescent="0.2">
      <c r="A27" t="s">
        <v>69</v>
      </c>
      <c r="B27" t="s">
        <v>70</v>
      </c>
      <c r="C27" s="77">
        <f t="shared" si="2"/>
        <v>5.6783093878888327</v>
      </c>
      <c r="D27" s="21">
        <f>VLOOKUP($B27,'Humanitarian Insight'!$B:$N,9,FALSE)</f>
        <v>886738899</v>
      </c>
      <c r="E27" s="21">
        <f>VLOOKUP($B27,'Humanitarian Insight'!$B:$N,13,FALSE)</f>
        <v>4969059</v>
      </c>
      <c r="F27" s="81">
        <f t="shared" si="0"/>
        <v>29778.16144425307</v>
      </c>
      <c r="G27" s="81">
        <f t="shared" si="1"/>
        <v>2229.1386228765587</v>
      </c>
      <c r="H27" s="103">
        <f t="shared" si="3"/>
        <v>0.4211267977699828</v>
      </c>
      <c r="I27" s="103">
        <f t="shared" si="4"/>
        <v>0.49845054920222526</v>
      </c>
      <c r="J27" s="258"/>
      <c r="K27" s="231"/>
      <c r="L27" s="231"/>
    </row>
    <row r="28" spans="1:12" ht="15.75" customHeight="1" x14ac:dyDescent="0.2">
      <c r="A28" t="s">
        <v>90</v>
      </c>
      <c r="B28" t="s">
        <v>91</v>
      </c>
      <c r="C28" s="77">
        <f t="shared" si="2"/>
        <v>4.8354434729219822</v>
      </c>
      <c r="D28" s="21">
        <f>VLOOKUP($B28,'Humanitarian Insight'!$B:$N,9,FALSE)</f>
        <v>583906619</v>
      </c>
      <c r="E28" s="21">
        <f>VLOOKUP($B28,'Humanitarian Insight'!$B:$N,13,FALSE)</f>
        <v>2695660</v>
      </c>
      <c r="F28" s="81">
        <f t="shared" si="0"/>
        <v>24164.15980331201</v>
      </c>
      <c r="G28" s="81">
        <f t="shared" si="1"/>
        <v>1641.8465214507719</v>
      </c>
      <c r="H28" s="103">
        <f t="shared" si="3"/>
        <v>0.3417328251719462</v>
      </c>
      <c r="I28" s="103">
        <f t="shared" si="4"/>
        <v>0.36712804305854924</v>
      </c>
      <c r="J28" s="258"/>
      <c r="K28" s="231"/>
      <c r="L28" s="231"/>
    </row>
    <row r="29" spans="1:12" ht="15.75" customHeight="1" x14ac:dyDescent="0.2">
      <c r="A29" t="s">
        <v>79</v>
      </c>
      <c r="B29" t="s">
        <v>80</v>
      </c>
      <c r="C29" s="77">
        <f t="shared" si="2"/>
        <v>6.2398536877719248</v>
      </c>
      <c r="D29" s="21">
        <f>VLOOKUP($B29,'Humanitarian Insight'!$B:$N,9,FALSE)</f>
        <v>1311953516</v>
      </c>
      <c r="E29" s="21">
        <f>VLOOKUP($B29,'Humanitarian Insight'!$B:$N,13,FALSE)</f>
        <v>6000000</v>
      </c>
      <c r="F29" s="81">
        <f t="shared" si="0"/>
        <v>36220.898884483802</v>
      </c>
      <c r="G29" s="81">
        <f t="shared" si="1"/>
        <v>2449.4897427831779</v>
      </c>
      <c r="H29" s="103">
        <f t="shared" si="3"/>
        <v>0.51224086443781502</v>
      </c>
      <c r="I29" s="103">
        <f t="shared" si="4"/>
        <v>0.54772255750516607</v>
      </c>
      <c r="J29" s="258"/>
      <c r="K29" s="231"/>
      <c r="L29" s="231"/>
    </row>
    <row r="30" spans="1:12" ht="15.75" customHeight="1" x14ac:dyDescent="0.2">
      <c r="A30" t="s">
        <v>73</v>
      </c>
      <c r="B30" t="s">
        <v>74</v>
      </c>
      <c r="C30" s="326">
        <v>2</v>
      </c>
      <c r="D30" s="21">
        <v>0</v>
      </c>
      <c r="E30" s="21">
        <v>0</v>
      </c>
      <c r="F30" s="81">
        <f t="shared" ref="F30" si="10">SQRT(D30)</f>
        <v>0</v>
      </c>
      <c r="G30" s="81">
        <f t="shared" ref="G30" si="11">SQRT(E30)</f>
        <v>0</v>
      </c>
      <c r="H30" s="103">
        <f t="shared" ref="H30" si="12">IF(((F30-$F$2)/($F$3-$F$2))&gt;0.99,0.99,((F30-$F$2)/($F$3-$F$2)))</f>
        <v>0</v>
      </c>
      <c r="I30" s="103">
        <f t="shared" ref="I30" si="13">IF(((G30-$G$2)/($G$3-$G$2))&gt;0.99,0.99,((G30-$G$2)/($G$3-$G$2)))</f>
        <v>0</v>
      </c>
      <c r="J30" s="258"/>
      <c r="K30" s="231"/>
      <c r="L30" s="231"/>
    </row>
    <row r="31" spans="1:12" ht="15.75" customHeight="1" x14ac:dyDescent="0.2">
      <c r="A31" t="s">
        <v>77</v>
      </c>
      <c r="B31" t="s">
        <v>78</v>
      </c>
      <c r="C31" s="77">
        <f t="shared" si="2"/>
        <v>4.2341027209905917</v>
      </c>
      <c r="D31" s="21">
        <f>VLOOKUP($B31,'Humanitarian Insight'!$B:$N,9,FALSE)</f>
        <v>376729201</v>
      </c>
      <c r="E31" s="21">
        <f>VLOOKUP($B31,'Humanitarian Insight'!$B:$N,13,FALSE)</f>
        <v>1613503</v>
      </c>
      <c r="F31" s="81">
        <f t="shared" si="0"/>
        <v>19409.513157212368</v>
      </c>
      <c r="G31" s="81">
        <f t="shared" si="1"/>
        <v>1270.2373793901675</v>
      </c>
      <c r="H31" s="103">
        <f t="shared" si="3"/>
        <v>0.27449196745988758</v>
      </c>
      <c r="I31" s="103">
        <f t="shared" si="4"/>
        <v>0.28403371278776046</v>
      </c>
      <c r="J31" s="258"/>
      <c r="K31" s="231"/>
      <c r="L31" s="231"/>
    </row>
    <row r="32" spans="1:12" ht="15.75" customHeight="1" x14ac:dyDescent="0.2">
      <c r="A32" t="s">
        <v>57</v>
      </c>
      <c r="B32" t="s">
        <v>58</v>
      </c>
      <c r="C32" s="77">
        <f t="shared" si="2"/>
        <v>7.3529588208132459</v>
      </c>
      <c r="D32" s="21">
        <f>VLOOKUP($B32,'Humanitarian Insight'!$B:$N,9,FALSE)</f>
        <v>2599161218</v>
      </c>
      <c r="E32" s="21">
        <f>VLOOKUP($B32,'Humanitarian Insight'!$B:$N,13,FALSE)</f>
        <v>7619847</v>
      </c>
      <c r="F32" s="81">
        <f t="shared" si="0"/>
        <v>50981.969538259305</v>
      </c>
      <c r="G32" s="81">
        <f t="shared" si="1"/>
        <v>2760.4070352033232</v>
      </c>
      <c r="H32" s="103">
        <f t="shared" si="3"/>
        <v>0.72099392757498304</v>
      </c>
      <c r="I32" s="103">
        <f t="shared" si="4"/>
        <v>0.61724577762832855</v>
      </c>
      <c r="J32" s="258"/>
      <c r="K32" s="231"/>
      <c r="L32" s="231"/>
    </row>
    <row r="33" spans="1:12" ht="15.75" customHeight="1" x14ac:dyDescent="0.2">
      <c r="A33" t="s">
        <v>59</v>
      </c>
      <c r="B33" t="s">
        <v>60</v>
      </c>
      <c r="C33" s="77">
        <f t="shared" si="2"/>
        <v>6.9980285375289633</v>
      </c>
      <c r="D33" s="21">
        <f>VLOOKUP($B33,'Humanitarian Insight'!$B:$N,9,FALSE)</f>
        <v>2055885216</v>
      </c>
      <c r="E33" s="21">
        <f>VLOOKUP($B33,'Humanitarian Insight'!$B:$N,13,FALSE)</f>
        <v>7400000</v>
      </c>
      <c r="F33" s="81">
        <f t="shared" si="0"/>
        <v>45341.870451052193</v>
      </c>
      <c r="G33" s="81">
        <f t="shared" si="1"/>
        <v>2720.2941017470885</v>
      </c>
      <c r="H33" s="103">
        <f t="shared" si="3"/>
        <v>0.6412308813524189</v>
      </c>
      <c r="I33" s="103">
        <f t="shared" si="4"/>
        <v>0.60827625302982191</v>
      </c>
      <c r="J33" s="258"/>
      <c r="K33" s="231"/>
      <c r="L33" s="231"/>
    </row>
    <row r="34" spans="1:12" ht="15.75" customHeight="1" x14ac:dyDescent="0.2">
      <c r="A34" t="s">
        <v>53</v>
      </c>
      <c r="B34" t="s">
        <v>54</v>
      </c>
      <c r="C34" s="77">
        <f t="shared" si="2"/>
        <v>8.6699267378661027</v>
      </c>
      <c r="D34" s="21">
        <f>VLOOKUP($B34,'Humanitarian Insight'!$B:$N,9,FALSE)</f>
        <v>2565230201</v>
      </c>
      <c r="E34" s="21">
        <f>VLOOKUP($B34,'Humanitarian Insight'!$B:$N,13,FALSE)</f>
        <v>18095985</v>
      </c>
      <c r="F34" s="81">
        <f t="shared" si="0"/>
        <v>50648.101652480524</v>
      </c>
      <c r="G34" s="81">
        <f t="shared" si="1"/>
        <v>4253.9375876944878</v>
      </c>
      <c r="H34" s="103">
        <f t="shared" si="3"/>
        <v>0.71627232265389118</v>
      </c>
      <c r="I34" s="103">
        <f t="shared" si="4"/>
        <v>0.95120936181263471</v>
      </c>
      <c r="J34" s="258"/>
      <c r="K34" s="231"/>
      <c r="L34" s="231"/>
    </row>
    <row r="35" spans="1:12" ht="15.75" customHeight="1" x14ac:dyDescent="0.2">
      <c r="A35" t="s">
        <v>55</v>
      </c>
      <c r="B35" t="s">
        <v>56</v>
      </c>
      <c r="C35" s="77">
        <f t="shared" si="2"/>
        <v>9.3304599092705427</v>
      </c>
      <c r="D35" s="21">
        <f>VLOOKUP($B35,'Humanitarian Insight'!$B:$N,9,FALSE)</f>
        <v>5413802598</v>
      </c>
      <c r="E35" s="21">
        <f>VLOOKUP($B35,'Humanitarian Insight'!$B:$N,13,FALSE)</f>
        <v>14200000</v>
      </c>
      <c r="F35" s="81">
        <f t="shared" si="0"/>
        <v>73578.547131619824</v>
      </c>
      <c r="G35" s="81">
        <f t="shared" si="1"/>
        <v>3768.2887362833544</v>
      </c>
      <c r="H35" s="103">
        <f t="shared" si="3"/>
        <v>0.99</v>
      </c>
      <c r="I35" s="103">
        <f t="shared" si="4"/>
        <v>0.84261497731763579</v>
      </c>
      <c r="J35" s="258"/>
      <c r="K35" s="231"/>
      <c r="L35" s="231"/>
    </row>
    <row r="36" spans="1:12" ht="15.75" customHeight="1" x14ac:dyDescent="0.2">
      <c r="A36" t="s">
        <v>94</v>
      </c>
      <c r="B36" t="s">
        <v>95</v>
      </c>
      <c r="C36" s="77">
        <f t="shared" si="2"/>
        <v>8.5375843705133789</v>
      </c>
      <c r="D36" s="21">
        <f>VLOOKUP($B36,'Humanitarian Insight'!$B:$N,9,FALSE)</f>
        <v>3945656687</v>
      </c>
      <c r="E36" s="21">
        <f>VLOOKUP($B36,'Humanitarian Insight'!$B:$N,13,FALSE)</f>
        <v>11132273</v>
      </c>
      <c r="F36" s="81">
        <f t="shared" si="0"/>
        <v>62814.462403175909</v>
      </c>
      <c r="G36" s="81">
        <f t="shared" si="1"/>
        <v>3336.506106693048</v>
      </c>
      <c r="H36" s="103">
        <f t="shared" si="3"/>
        <v>0.8883306464374624</v>
      </c>
      <c r="I36" s="103">
        <f t="shared" si="4"/>
        <v>0.74606544619088211</v>
      </c>
      <c r="J36" s="258"/>
      <c r="K36" s="231"/>
      <c r="L36" s="231"/>
    </row>
    <row r="37" spans="1:12" s="17" customFormat="1" ht="15.75" customHeight="1" x14ac:dyDescent="0.2">
      <c r="A37" s="17" t="s">
        <v>96</v>
      </c>
      <c r="B37" s="17" t="s">
        <v>97</v>
      </c>
      <c r="C37" s="77">
        <f t="shared" si="2"/>
        <v>5.5605642165700058</v>
      </c>
      <c r="D37" s="21">
        <f>VLOOKUP($B37,'Humanitarian Insight'!$B:$N,9,FALSE)</f>
        <v>719581691</v>
      </c>
      <c r="E37" s="21">
        <f>VLOOKUP($B37,'Humanitarian Insight'!$B:$N,13,FALSE)</f>
        <v>5217883</v>
      </c>
      <c r="F37" s="82">
        <f t="shared" si="0"/>
        <v>26825.019869517339</v>
      </c>
      <c r="G37" s="82">
        <f t="shared" si="1"/>
        <v>2284.2685919129563</v>
      </c>
      <c r="H37" s="103">
        <f t="shared" si="3"/>
        <v>0.3793630691039917</v>
      </c>
      <c r="I37" s="103">
        <f t="shared" si="4"/>
        <v>0.51077798503850969</v>
      </c>
      <c r="J37" s="258"/>
      <c r="K37" s="231"/>
      <c r="L37" s="231"/>
    </row>
    <row r="38" spans="1:12" s="17" customFormat="1" ht="15.75" customHeight="1" x14ac:dyDescent="0.2">
      <c r="A38" s="17" t="s">
        <v>51</v>
      </c>
      <c r="B38" s="17" t="s">
        <v>52</v>
      </c>
      <c r="C38" s="77">
        <f t="shared" si="2"/>
        <v>9.4562248880949316</v>
      </c>
      <c r="D38" s="21">
        <f>VLOOKUP($B38,'Humanitarian Insight'!$B:$N,9,FALSE)</f>
        <v>4344155316</v>
      </c>
      <c r="E38" s="21">
        <f>VLOOKUP($B38,'Humanitarian Insight'!$B:$N,13,FALSE)</f>
        <v>17370435</v>
      </c>
      <c r="F38" s="82">
        <f t="shared" si="0"/>
        <v>65910.206463035749</v>
      </c>
      <c r="G38" s="82">
        <f t="shared" si="1"/>
        <v>4167.7853831501452</v>
      </c>
      <c r="H38" s="103">
        <f t="shared" si="3"/>
        <v>0.93211107878835975</v>
      </c>
      <c r="I38" s="103">
        <f t="shared" si="4"/>
        <v>0.93194514323537314</v>
      </c>
      <c r="J38" s="258"/>
      <c r="K38" s="231"/>
      <c r="L38" s="231"/>
    </row>
    <row r="39" spans="1:12" s="17" customFormat="1" ht="15.75" customHeight="1" x14ac:dyDescent="0.2">
      <c r="D39" s="27"/>
      <c r="E39" s="27"/>
      <c r="F39" s="27"/>
      <c r="G39" s="27"/>
      <c r="H39" s="27"/>
      <c r="I39" s="27"/>
      <c r="J39" s="27"/>
    </row>
    <row r="40" spans="1:12" s="17" customFormat="1" ht="16" x14ac:dyDescent="0.2">
      <c r="C40" s="256"/>
      <c r="D40" s="27"/>
      <c r="E40" s="28">
        <f>STDEV(E5:E38)</f>
        <v>5979230.3294632789</v>
      </c>
      <c r="F40" s="27"/>
      <c r="G40" s="27"/>
      <c r="H40" s="27"/>
      <c r="I40" s="27"/>
      <c r="J40" s="45"/>
    </row>
    <row r="41" spans="1:12" ht="15.75" customHeight="1" x14ac:dyDescent="0.2">
      <c r="C41" s="257"/>
      <c r="E41" s="26">
        <f>AVERAGE(E5:E38)</f>
        <v>5696933.176470588</v>
      </c>
    </row>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sheet="1" objects="1" scenarios="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8193-AFCD-4329-8E80-25F8E0DEA845}">
  <sheetPr>
    <tabColor rgb="FFFFF2CC"/>
  </sheetPr>
  <dimension ref="A1:O395"/>
  <sheetViews>
    <sheetView showGridLines="0" workbookViewId="0">
      <selection activeCell="C5" sqref="C5"/>
    </sheetView>
  </sheetViews>
  <sheetFormatPr baseColWidth="10" defaultColWidth="9" defaultRowHeight="16" x14ac:dyDescent="0.2"/>
  <cols>
    <col min="1" max="1" width="18.1640625" style="17" customWidth="1"/>
    <col min="2" max="3" width="9" style="17"/>
    <col min="4" max="12" width="9" style="350"/>
    <col min="13" max="13" width="9" style="154"/>
    <col min="14" max="16384" width="9" style="17"/>
  </cols>
  <sheetData>
    <row r="1" spans="1:14" s="149" customFormat="1" ht="175.5" customHeight="1" x14ac:dyDescent="0.2">
      <c r="A1" s="148"/>
      <c r="B1" s="148"/>
      <c r="C1" s="148" t="s">
        <v>553</v>
      </c>
      <c r="D1" s="347" t="s">
        <v>554</v>
      </c>
      <c r="E1" s="347" t="s">
        <v>555</v>
      </c>
      <c r="F1" s="347" t="s">
        <v>556</v>
      </c>
      <c r="G1" s="347" t="s">
        <v>557</v>
      </c>
      <c r="H1" s="347" t="s">
        <v>558</v>
      </c>
      <c r="I1" s="347" t="s">
        <v>559</v>
      </c>
      <c r="J1" s="347" t="s">
        <v>560</v>
      </c>
      <c r="K1" s="347" t="s">
        <v>561</v>
      </c>
      <c r="L1" s="347" t="s">
        <v>562</v>
      </c>
      <c r="M1" s="148" t="s">
        <v>563</v>
      </c>
    </row>
    <row r="2" spans="1:14" s="152" customFormat="1" ht="14" x14ac:dyDescent="0.2">
      <c r="A2" s="150"/>
      <c r="B2" s="212" t="s">
        <v>123</v>
      </c>
      <c r="C2" s="150"/>
      <c r="D2" s="151"/>
      <c r="E2" s="151"/>
      <c r="F2" s="151"/>
      <c r="G2" s="151"/>
      <c r="H2" s="151"/>
      <c r="I2" s="151"/>
      <c r="J2" s="151"/>
      <c r="K2" s="151"/>
      <c r="L2" s="151"/>
      <c r="M2" s="208">
        <v>27</v>
      </c>
    </row>
    <row r="3" spans="1:14" s="152" customFormat="1" ht="14" x14ac:dyDescent="0.2">
      <c r="A3" s="150"/>
      <c r="B3" s="212" t="s">
        <v>121</v>
      </c>
      <c r="C3" s="150"/>
      <c r="D3" s="151"/>
      <c r="E3" s="151"/>
      <c r="F3" s="151"/>
      <c r="G3" s="151"/>
      <c r="H3" s="151"/>
      <c r="I3" s="151"/>
      <c r="J3" s="151"/>
      <c r="K3" s="151"/>
      <c r="L3" s="151"/>
      <c r="M3" s="208">
        <f>MIN(M5:M160)</f>
        <v>0</v>
      </c>
    </row>
    <row r="4" spans="1:14" s="152" customFormat="1" ht="14" x14ac:dyDescent="0.2">
      <c r="A4" s="153" t="s">
        <v>124</v>
      </c>
      <c r="B4" s="153" t="s">
        <v>47</v>
      </c>
      <c r="C4" s="211" t="s">
        <v>125</v>
      </c>
      <c r="D4" s="348" t="s">
        <v>128</v>
      </c>
      <c r="E4" s="348" t="s">
        <v>128</v>
      </c>
      <c r="F4" s="348" t="s">
        <v>128</v>
      </c>
      <c r="G4" s="348" t="s">
        <v>128</v>
      </c>
      <c r="H4" s="348" t="s">
        <v>128</v>
      </c>
      <c r="I4" s="348" t="s">
        <v>128</v>
      </c>
      <c r="J4" s="348" t="s">
        <v>128</v>
      </c>
      <c r="K4" s="348" t="s">
        <v>128</v>
      </c>
      <c r="L4" s="348" t="s">
        <v>128</v>
      </c>
      <c r="M4" s="211" t="s">
        <v>155</v>
      </c>
    </row>
    <row r="5" spans="1:14" s="75" customFormat="1" x14ac:dyDescent="0.2">
      <c r="A5" s="192" t="s">
        <v>48</v>
      </c>
      <c r="B5" s="192" t="s">
        <v>50</v>
      </c>
      <c r="C5" s="209">
        <f t="shared" ref="C5:C36" si="0">((M5-$M$3)/($M$2-$M$3))*10</f>
        <v>7.7777777777777777</v>
      </c>
      <c r="D5" s="168">
        <v>0</v>
      </c>
      <c r="E5" s="168">
        <v>2</v>
      </c>
      <c r="F5" s="168">
        <v>3</v>
      </c>
      <c r="G5" s="168">
        <v>3</v>
      </c>
      <c r="H5" s="171">
        <v>2</v>
      </c>
      <c r="I5" s="171">
        <v>2</v>
      </c>
      <c r="J5" s="168">
        <v>3</v>
      </c>
      <c r="K5" s="168">
        <v>3</v>
      </c>
      <c r="L5" s="168">
        <v>3</v>
      </c>
      <c r="M5" s="210">
        <f>SUM(D5:L5)</f>
        <v>21</v>
      </c>
      <c r="N5" s="170"/>
    </row>
    <row r="6" spans="1:14" x14ac:dyDescent="0.2">
      <c r="A6" s="192" t="s">
        <v>48</v>
      </c>
      <c r="B6" s="192" t="s">
        <v>50</v>
      </c>
      <c r="C6" s="209">
        <f t="shared" si="0"/>
        <v>3.7037037037037033</v>
      </c>
      <c r="D6" s="168">
        <v>0</v>
      </c>
      <c r="E6" s="168">
        <v>0</v>
      </c>
      <c r="F6" s="168">
        <v>1</v>
      </c>
      <c r="G6" s="168">
        <v>0</v>
      </c>
      <c r="H6" s="171">
        <v>0</v>
      </c>
      <c r="I6" s="171">
        <v>2</v>
      </c>
      <c r="J6" s="168">
        <v>1</v>
      </c>
      <c r="K6" s="168">
        <v>3</v>
      </c>
      <c r="L6" s="168">
        <v>3</v>
      </c>
      <c r="M6" s="210">
        <f t="shared" ref="M6:M69" si="1">SUM(D6:L6)</f>
        <v>10</v>
      </c>
      <c r="N6" s="170"/>
    </row>
    <row r="7" spans="1:14" x14ac:dyDescent="0.2">
      <c r="A7" s="192" t="s">
        <v>162</v>
      </c>
      <c r="B7" s="192" t="s">
        <v>163</v>
      </c>
      <c r="C7" s="209">
        <f t="shared" si="0"/>
        <v>1.8518518518518516</v>
      </c>
      <c r="D7" s="168">
        <v>0</v>
      </c>
      <c r="E7" s="168">
        <v>0</v>
      </c>
      <c r="F7" s="168">
        <v>0</v>
      </c>
      <c r="G7" s="168">
        <v>0</v>
      </c>
      <c r="H7" s="171">
        <v>0</v>
      </c>
      <c r="I7" s="171">
        <v>1</v>
      </c>
      <c r="J7" s="168">
        <v>0</v>
      </c>
      <c r="K7" s="168">
        <v>2</v>
      </c>
      <c r="L7" s="168">
        <v>2</v>
      </c>
      <c r="M7" s="210">
        <f t="shared" si="1"/>
        <v>5</v>
      </c>
      <c r="N7" s="170"/>
    </row>
    <row r="8" spans="1:14" x14ac:dyDescent="0.2">
      <c r="A8" s="192" t="s">
        <v>167</v>
      </c>
      <c r="B8" s="192" t="s">
        <v>168</v>
      </c>
      <c r="C8" s="209">
        <f t="shared" si="0"/>
        <v>1.8518518518518516</v>
      </c>
      <c r="D8" s="168">
        <v>0</v>
      </c>
      <c r="E8" s="168">
        <v>0</v>
      </c>
      <c r="F8" s="168">
        <v>1</v>
      </c>
      <c r="G8" s="168">
        <v>0</v>
      </c>
      <c r="H8" s="171">
        <v>0</v>
      </c>
      <c r="I8" s="171">
        <v>1</v>
      </c>
      <c r="J8" s="168">
        <v>0</v>
      </c>
      <c r="K8" s="168">
        <v>3</v>
      </c>
      <c r="L8" s="168">
        <v>0</v>
      </c>
      <c r="M8" s="210">
        <f t="shared" si="1"/>
        <v>5</v>
      </c>
      <c r="N8" s="170"/>
    </row>
    <row r="9" spans="1:14" x14ac:dyDescent="0.2">
      <c r="A9" s="192" t="s">
        <v>171</v>
      </c>
      <c r="B9" s="192" t="s">
        <v>172</v>
      </c>
      <c r="C9" s="209">
        <f t="shared" si="0"/>
        <v>6.6666666666666661</v>
      </c>
      <c r="D9" s="168">
        <v>2</v>
      </c>
      <c r="E9" s="168">
        <v>3</v>
      </c>
      <c r="F9" s="168">
        <v>2</v>
      </c>
      <c r="G9" s="168">
        <v>0</v>
      </c>
      <c r="H9" s="171">
        <v>3</v>
      </c>
      <c r="I9" s="171">
        <v>2</v>
      </c>
      <c r="J9" s="168">
        <v>1</v>
      </c>
      <c r="K9" s="168">
        <v>3</v>
      </c>
      <c r="L9" s="168">
        <v>2</v>
      </c>
      <c r="M9" s="210">
        <f t="shared" si="1"/>
        <v>18</v>
      </c>
      <c r="N9" s="170"/>
    </row>
    <row r="10" spans="1:14" x14ac:dyDescent="0.2">
      <c r="A10" s="192" t="s">
        <v>88</v>
      </c>
      <c r="B10" s="192" t="s">
        <v>89</v>
      </c>
      <c r="C10" s="209">
        <f t="shared" si="0"/>
        <v>2.5925925925925926</v>
      </c>
      <c r="D10" s="168">
        <v>1</v>
      </c>
      <c r="E10" s="168">
        <v>1</v>
      </c>
      <c r="F10" s="168">
        <v>1</v>
      </c>
      <c r="G10" s="168">
        <v>0</v>
      </c>
      <c r="H10" s="171">
        <v>0</v>
      </c>
      <c r="I10" s="171">
        <v>1</v>
      </c>
      <c r="J10" s="168">
        <v>0</v>
      </c>
      <c r="K10" s="168">
        <v>0</v>
      </c>
      <c r="L10" s="168">
        <v>3</v>
      </c>
      <c r="M10" s="210">
        <f t="shared" si="1"/>
        <v>7</v>
      </c>
      <c r="N10" s="170"/>
    </row>
    <row r="11" spans="1:14" x14ac:dyDescent="0.2">
      <c r="A11" s="192" t="s">
        <v>98</v>
      </c>
      <c r="B11" s="192" t="s">
        <v>99</v>
      </c>
      <c r="C11" s="209">
        <f t="shared" si="0"/>
        <v>7.7777777777777777</v>
      </c>
      <c r="D11" s="168">
        <v>2</v>
      </c>
      <c r="E11" s="168">
        <v>3</v>
      </c>
      <c r="F11" s="168">
        <v>3</v>
      </c>
      <c r="G11" s="168">
        <v>1</v>
      </c>
      <c r="H11" s="171">
        <v>2</v>
      </c>
      <c r="I11" s="171">
        <v>3</v>
      </c>
      <c r="J11" s="168">
        <v>3</v>
      </c>
      <c r="K11" s="168">
        <v>1</v>
      </c>
      <c r="L11" s="168">
        <v>3</v>
      </c>
      <c r="M11" s="210">
        <f t="shared" si="1"/>
        <v>21</v>
      </c>
      <c r="N11" s="170"/>
    </row>
    <row r="12" spans="1:14" x14ac:dyDescent="0.2">
      <c r="A12" s="192" t="s">
        <v>133</v>
      </c>
      <c r="B12" s="192" t="s">
        <v>134</v>
      </c>
      <c r="C12" s="209">
        <f t="shared" si="0"/>
        <v>3.333333333333333</v>
      </c>
      <c r="D12" s="168">
        <v>2</v>
      </c>
      <c r="E12" s="168">
        <v>1</v>
      </c>
      <c r="F12" s="168">
        <v>1</v>
      </c>
      <c r="G12" s="168">
        <v>0</v>
      </c>
      <c r="H12" s="171">
        <v>1</v>
      </c>
      <c r="I12" s="171">
        <v>2</v>
      </c>
      <c r="J12" s="168">
        <v>1</v>
      </c>
      <c r="K12" s="168">
        <v>1</v>
      </c>
      <c r="L12" s="168">
        <v>0</v>
      </c>
      <c r="M12" s="210">
        <f t="shared" si="1"/>
        <v>9</v>
      </c>
      <c r="N12" s="170"/>
    </row>
    <row r="13" spans="1:14" x14ac:dyDescent="0.2">
      <c r="A13" s="192" t="s">
        <v>133</v>
      </c>
      <c r="B13" s="192" t="s">
        <v>134</v>
      </c>
      <c r="C13" s="209">
        <f t="shared" si="0"/>
        <v>4.0740740740740735</v>
      </c>
      <c r="D13" s="168">
        <v>2</v>
      </c>
      <c r="E13" s="168">
        <v>1</v>
      </c>
      <c r="F13" s="168">
        <v>1</v>
      </c>
      <c r="G13" s="168">
        <v>0</v>
      </c>
      <c r="H13" s="171">
        <v>1</v>
      </c>
      <c r="I13" s="171">
        <v>2</v>
      </c>
      <c r="J13" s="168">
        <v>1</v>
      </c>
      <c r="K13" s="168">
        <v>1</v>
      </c>
      <c r="L13" s="168">
        <v>2</v>
      </c>
      <c r="M13" s="210">
        <f t="shared" si="1"/>
        <v>11</v>
      </c>
      <c r="N13" s="170"/>
    </row>
    <row r="14" spans="1:14" x14ac:dyDescent="0.2">
      <c r="A14" s="192" t="s">
        <v>564</v>
      </c>
      <c r="B14" s="192" t="s">
        <v>565</v>
      </c>
      <c r="C14" s="209">
        <f t="shared" si="0"/>
        <v>0</v>
      </c>
      <c r="D14" s="168">
        <v>0</v>
      </c>
      <c r="E14" s="168">
        <v>0</v>
      </c>
      <c r="F14" s="168">
        <v>0</v>
      </c>
      <c r="G14" s="168">
        <v>0</v>
      </c>
      <c r="H14" s="171">
        <v>0</v>
      </c>
      <c r="I14" s="171">
        <v>0</v>
      </c>
      <c r="J14" s="168">
        <v>0</v>
      </c>
      <c r="K14" s="168">
        <v>0</v>
      </c>
      <c r="L14" s="168">
        <v>0</v>
      </c>
      <c r="M14" s="210">
        <f t="shared" si="1"/>
        <v>0</v>
      </c>
      <c r="N14" s="170"/>
    </row>
    <row r="15" spans="1:14" x14ac:dyDescent="0.2">
      <c r="A15" s="192" t="s">
        <v>566</v>
      </c>
      <c r="B15" s="192" t="s">
        <v>567</v>
      </c>
      <c r="C15" s="209">
        <f t="shared" si="0"/>
        <v>4.4444444444444446</v>
      </c>
      <c r="D15" s="168">
        <v>2</v>
      </c>
      <c r="E15" s="168">
        <v>1</v>
      </c>
      <c r="F15" s="168">
        <v>1</v>
      </c>
      <c r="G15" s="168">
        <v>0</v>
      </c>
      <c r="H15" s="171">
        <v>3</v>
      </c>
      <c r="I15" s="171">
        <v>2</v>
      </c>
      <c r="J15" s="168">
        <v>0</v>
      </c>
      <c r="K15" s="168">
        <v>3</v>
      </c>
      <c r="L15" s="168">
        <v>0</v>
      </c>
      <c r="M15" s="210">
        <f t="shared" si="1"/>
        <v>12</v>
      </c>
      <c r="N15" s="170"/>
    </row>
    <row r="16" spans="1:14" x14ac:dyDescent="0.2">
      <c r="A16" s="192" t="s">
        <v>181</v>
      </c>
      <c r="B16" s="192" t="s">
        <v>182</v>
      </c>
      <c r="C16" s="209">
        <f t="shared" si="0"/>
        <v>0.37037037037037035</v>
      </c>
      <c r="D16" s="168">
        <v>0</v>
      </c>
      <c r="E16" s="168">
        <v>0</v>
      </c>
      <c r="F16" s="168">
        <v>0</v>
      </c>
      <c r="G16" s="168">
        <v>0</v>
      </c>
      <c r="H16" s="171">
        <v>0</v>
      </c>
      <c r="I16" s="171">
        <v>0</v>
      </c>
      <c r="J16" s="168">
        <v>0</v>
      </c>
      <c r="K16" s="168">
        <v>0</v>
      </c>
      <c r="L16" s="168">
        <v>1</v>
      </c>
      <c r="M16" s="210">
        <f t="shared" si="1"/>
        <v>1</v>
      </c>
      <c r="N16" s="170"/>
    </row>
    <row r="17" spans="1:14" x14ac:dyDescent="0.2">
      <c r="A17" s="192" t="s">
        <v>181</v>
      </c>
      <c r="B17" s="192" t="s">
        <v>182</v>
      </c>
      <c r="C17" s="209">
        <f t="shared" si="0"/>
        <v>0.7407407407407407</v>
      </c>
      <c r="D17" s="168">
        <v>0</v>
      </c>
      <c r="E17" s="168">
        <v>0</v>
      </c>
      <c r="F17" s="168">
        <v>0</v>
      </c>
      <c r="G17" s="168">
        <v>0</v>
      </c>
      <c r="H17" s="171">
        <v>0</v>
      </c>
      <c r="I17" s="171">
        <v>0</v>
      </c>
      <c r="J17" s="168">
        <v>0</v>
      </c>
      <c r="K17" s="168">
        <v>0</v>
      </c>
      <c r="L17" s="168">
        <v>2</v>
      </c>
      <c r="M17" s="210">
        <f t="shared" si="1"/>
        <v>2</v>
      </c>
      <c r="N17" s="170"/>
    </row>
    <row r="18" spans="1:14" x14ac:dyDescent="0.2">
      <c r="A18" s="192" t="s">
        <v>181</v>
      </c>
      <c r="B18" s="192" t="s">
        <v>182</v>
      </c>
      <c r="C18" s="209">
        <f t="shared" si="0"/>
        <v>0.37037037037037035</v>
      </c>
      <c r="D18" s="168">
        <v>0</v>
      </c>
      <c r="E18" s="168">
        <v>0</v>
      </c>
      <c r="F18" s="168">
        <v>0</v>
      </c>
      <c r="G18" s="168">
        <v>0</v>
      </c>
      <c r="H18" s="171">
        <v>0</v>
      </c>
      <c r="I18" s="171">
        <v>0</v>
      </c>
      <c r="J18" s="168">
        <v>0</v>
      </c>
      <c r="K18" s="168">
        <v>0</v>
      </c>
      <c r="L18" s="168">
        <v>1</v>
      </c>
      <c r="M18" s="210">
        <f t="shared" si="1"/>
        <v>1</v>
      </c>
    </row>
    <row r="19" spans="1:14" x14ac:dyDescent="0.2">
      <c r="A19" s="192" t="s">
        <v>75</v>
      </c>
      <c r="B19" s="192" t="s">
        <v>76</v>
      </c>
      <c r="C19" s="209">
        <f t="shared" si="0"/>
        <v>7.0370370370370372</v>
      </c>
      <c r="D19" s="168">
        <v>1</v>
      </c>
      <c r="E19" s="168">
        <v>3</v>
      </c>
      <c r="F19" s="168">
        <v>2</v>
      </c>
      <c r="G19" s="168">
        <v>3</v>
      </c>
      <c r="H19" s="171">
        <v>0</v>
      </c>
      <c r="I19" s="171">
        <v>3</v>
      </c>
      <c r="J19" s="168">
        <v>3</v>
      </c>
      <c r="K19" s="168">
        <v>1</v>
      </c>
      <c r="L19" s="168">
        <v>3</v>
      </c>
      <c r="M19" s="210">
        <f t="shared" si="1"/>
        <v>19</v>
      </c>
    </row>
    <row r="20" spans="1:14" x14ac:dyDescent="0.2">
      <c r="A20" s="192" t="s">
        <v>189</v>
      </c>
      <c r="B20" s="192" t="s">
        <v>190</v>
      </c>
      <c r="C20" s="209">
        <f t="shared" si="0"/>
        <v>2.2222222222222223</v>
      </c>
      <c r="D20" s="168">
        <v>0</v>
      </c>
      <c r="E20" s="168">
        <v>0</v>
      </c>
      <c r="F20" s="168">
        <v>0</v>
      </c>
      <c r="G20" s="168">
        <v>0</v>
      </c>
      <c r="H20" s="171">
        <v>0</v>
      </c>
      <c r="I20" s="171">
        <v>3</v>
      </c>
      <c r="J20" s="168">
        <v>0</v>
      </c>
      <c r="K20" s="168">
        <v>2</v>
      </c>
      <c r="L20" s="168">
        <v>1</v>
      </c>
      <c r="M20" s="210">
        <f t="shared" si="1"/>
        <v>6</v>
      </c>
    </row>
    <row r="21" spans="1:14" x14ac:dyDescent="0.2">
      <c r="A21" s="192" t="s">
        <v>92</v>
      </c>
      <c r="B21" s="192" t="s">
        <v>93</v>
      </c>
      <c r="C21" s="209">
        <f t="shared" si="0"/>
        <v>7.0370370370370372</v>
      </c>
      <c r="D21" s="168">
        <v>1</v>
      </c>
      <c r="E21" s="168">
        <v>3</v>
      </c>
      <c r="F21" s="168">
        <v>3</v>
      </c>
      <c r="G21" s="168">
        <v>3</v>
      </c>
      <c r="H21" s="171">
        <v>0</v>
      </c>
      <c r="I21" s="171">
        <v>2</v>
      </c>
      <c r="J21" s="168">
        <v>3</v>
      </c>
      <c r="K21" s="168">
        <v>1</v>
      </c>
      <c r="L21" s="168">
        <v>3</v>
      </c>
      <c r="M21" s="210">
        <f t="shared" si="1"/>
        <v>19</v>
      </c>
    </row>
    <row r="22" spans="1:14" x14ac:dyDescent="0.2">
      <c r="A22" s="192" t="s">
        <v>92</v>
      </c>
      <c r="B22" s="192" t="s">
        <v>93</v>
      </c>
      <c r="C22" s="209">
        <f t="shared" si="0"/>
        <v>4.4444444444444446</v>
      </c>
      <c r="D22" s="168">
        <v>1</v>
      </c>
      <c r="E22" s="168">
        <v>2</v>
      </c>
      <c r="F22" s="168">
        <v>1</v>
      </c>
      <c r="G22" s="168">
        <v>0</v>
      </c>
      <c r="H22" s="171">
        <v>0</v>
      </c>
      <c r="I22" s="171">
        <v>2</v>
      </c>
      <c r="J22" s="168">
        <v>2</v>
      </c>
      <c r="K22" s="168">
        <v>1</v>
      </c>
      <c r="L22" s="168">
        <v>3</v>
      </c>
      <c r="M22" s="210">
        <f t="shared" si="1"/>
        <v>12</v>
      </c>
    </row>
    <row r="23" spans="1:14" x14ac:dyDescent="0.2">
      <c r="A23" s="192" t="s">
        <v>92</v>
      </c>
      <c r="B23" s="192" t="s">
        <v>93</v>
      </c>
      <c r="C23" s="209">
        <f t="shared" si="0"/>
        <v>6.6666666666666661</v>
      </c>
      <c r="D23" s="168">
        <v>1</v>
      </c>
      <c r="E23" s="168">
        <v>3</v>
      </c>
      <c r="F23" s="168">
        <v>2</v>
      </c>
      <c r="G23" s="168">
        <v>3</v>
      </c>
      <c r="H23" s="171">
        <v>0</v>
      </c>
      <c r="I23" s="171">
        <v>2</v>
      </c>
      <c r="J23" s="168">
        <v>3</v>
      </c>
      <c r="K23" s="168">
        <v>1</v>
      </c>
      <c r="L23" s="168">
        <v>3</v>
      </c>
      <c r="M23" s="210">
        <f t="shared" si="1"/>
        <v>18</v>
      </c>
    </row>
    <row r="24" spans="1:14" x14ac:dyDescent="0.2">
      <c r="A24" s="192" t="s">
        <v>92</v>
      </c>
      <c r="B24" s="192" t="s">
        <v>93</v>
      </c>
      <c r="C24" s="209">
        <f t="shared" si="0"/>
        <v>1.4814814814814814</v>
      </c>
      <c r="D24" s="168">
        <v>1</v>
      </c>
      <c r="E24" s="168">
        <v>2</v>
      </c>
      <c r="F24" s="168">
        <v>0</v>
      </c>
      <c r="G24" s="168">
        <v>0</v>
      </c>
      <c r="H24" s="171">
        <v>0</v>
      </c>
      <c r="I24" s="171">
        <v>0</v>
      </c>
      <c r="J24" s="168">
        <v>0</v>
      </c>
      <c r="K24" s="168">
        <v>1</v>
      </c>
      <c r="L24" s="168">
        <v>0</v>
      </c>
      <c r="M24" s="210">
        <f t="shared" si="1"/>
        <v>4</v>
      </c>
    </row>
    <row r="25" spans="1:14" x14ac:dyDescent="0.2">
      <c r="A25" s="192" t="s">
        <v>63</v>
      </c>
      <c r="B25" s="192" t="s">
        <v>64</v>
      </c>
      <c r="C25" s="209">
        <f t="shared" si="0"/>
        <v>7.7777777777777777</v>
      </c>
      <c r="D25" s="168">
        <v>1</v>
      </c>
      <c r="E25" s="168">
        <v>3</v>
      </c>
      <c r="F25" s="168">
        <v>3</v>
      </c>
      <c r="G25" s="168">
        <v>3</v>
      </c>
      <c r="H25" s="171">
        <v>0</v>
      </c>
      <c r="I25" s="171">
        <v>3</v>
      </c>
      <c r="J25" s="168">
        <v>3</v>
      </c>
      <c r="K25" s="168">
        <v>2</v>
      </c>
      <c r="L25" s="168">
        <v>3</v>
      </c>
      <c r="M25" s="210">
        <f t="shared" si="1"/>
        <v>21</v>
      </c>
    </row>
    <row r="26" spans="1:14" x14ac:dyDescent="0.2">
      <c r="A26" s="192" t="s">
        <v>202</v>
      </c>
      <c r="B26" s="192" t="s">
        <v>203</v>
      </c>
      <c r="C26" s="209">
        <f t="shared" si="0"/>
        <v>0.7407407407407407</v>
      </c>
      <c r="D26" s="168">
        <v>0</v>
      </c>
      <c r="E26" s="168">
        <v>0</v>
      </c>
      <c r="F26" s="168">
        <v>0</v>
      </c>
      <c r="G26" s="168">
        <v>0</v>
      </c>
      <c r="H26" s="171">
        <v>0</v>
      </c>
      <c r="I26" s="171">
        <v>0</v>
      </c>
      <c r="J26" s="168">
        <v>0</v>
      </c>
      <c r="K26" s="168">
        <v>0</v>
      </c>
      <c r="L26" s="168">
        <v>2</v>
      </c>
      <c r="M26" s="210">
        <f t="shared" si="1"/>
        <v>2</v>
      </c>
    </row>
    <row r="27" spans="1:14" x14ac:dyDescent="0.2">
      <c r="A27" s="192" t="s">
        <v>104</v>
      </c>
      <c r="B27" s="192" t="s">
        <v>105</v>
      </c>
      <c r="C27" s="209">
        <f t="shared" si="0"/>
        <v>4.8148148148148149</v>
      </c>
      <c r="D27" s="168">
        <v>0</v>
      </c>
      <c r="E27" s="168">
        <v>3</v>
      </c>
      <c r="F27" s="168">
        <v>1</v>
      </c>
      <c r="G27" s="168">
        <v>0</v>
      </c>
      <c r="H27" s="171">
        <v>0</v>
      </c>
      <c r="I27" s="171">
        <v>2</v>
      </c>
      <c r="J27" s="168">
        <v>2</v>
      </c>
      <c r="K27" s="168">
        <v>2</v>
      </c>
      <c r="L27" s="168">
        <v>3</v>
      </c>
      <c r="M27" s="210">
        <f t="shared" si="1"/>
        <v>13</v>
      </c>
    </row>
    <row r="28" spans="1:14" x14ac:dyDescent="0.2">
      <c r="A28" s="192" t="s">
        <v>104</v>
      </c>
      <c r="B28" s="192" t="s">
        <v>105</v>
      </c>
      <c r="C28" s="209">
        <f t="shared" si="0"/>
        <v>4.0740740740740735</v>
      </c>
      <c r="D28" s="168">
        <v>0</v>
      </c>
      <c r="E28" s="168">
        <v>3</v>
      </c>
      <c r="F28" s="168">
        <v>1</v>
      </c>
      <c r="G28" s="168">
        <v>0</v>
      </c>
      <c r="H28" s="171">
        <v>0</v>
      </c>
      <c r="I28" s="171">
        <v>1</v>
      </c>
      <c r="J28" s="168">
        <v>1</v>
      </c>
      <c r="K28" s="168">
        <v>2</v>
      </c>
      <c r="L28" s="168">
        <v>3</v>
      </c>
      <c r="M28" s="210">
        <f t="shared" si="1"/>
        <v>11</v>
      </c>
    </row>
    <row r="29" spans="1:14" x14ac:dyDescent="0.2">
      <c r="A29" s="192" t="s">
        <v>210</v>
      </c>
      <c r="B29" s="192" t="s">
        <v>211</v>
      </c>
      <c r="C29" s="209">
        <f t="shared" si="0"/>
        <v>0.37037037037037035</v>
      </c>
      <c r="D29" s="168">
        <v>0</v>
      </c>
      <c r="E29" s="168">
        <v>0</v>
      </c>
      <c r="F29" s="168">
        <v>0</v>
      </c>
      <c r="G29" s="168">
        <v>0</v>
      </c>
      <c r="H29" s="171">
        <v>0</v>
      </c>
      <c r="I29" s="171">
        <v>0</v>
      </c>
      <c r="J29" s="168">
        <v>0</v>
      </c>
      <c r="K29" s="168">
        <v>0</v>
      </c>
      <c r="L29" s="168">
        <v>1</v>
      </c>
      <c r="M29" s="210">
        <f t="shared" si="1"/>
        <v>1</v>
      </c>
    </row>
    <row r="30" spans="1:14" x14ac:dyDescent="0.2">
      <c r="A30" s="192" t="s">
        <v>568</v>
      </c>
      <c r="B30" s="192" t="s">
        <v>569</v>
      </c>
      <c r="C30" s="209">
        <f t="shared" si="0"/>
        <v>0</v>
      </c>
      <c r="D30" s="168">
        <v>0</v>
      </c>
      <c r="E30" s="168">
        <v>0</v>
      </c>
      <c r="F30" s="168">
        <v>0</v>
      </c>
      <c r="G30" s="168">
        <v>0</v>
      </c>
      <c r="H30" s="171">
        <v>0</v>
      </c>
      <c r="I30" s="171">
        <v>0</v>
      </c>
      <c r="J30" s="168">
        <v>0</v>
      </c>
      <c r="K30" s="168">
        <v>0</v>
      </c>
      <c r="L30" s="168">
        <v>0</v>
      </c>
      <c r="M30" s="210">
        <f t="shared" si="1"/>
        <v>0</v>
      </c>
    </row>
    <row r="31" spans="1:14" x14ac:dyDescent="0.2">
      <c r="A31" s="192" t="s">
        <v>214</v>
      </c>
      <c r="B31" s="192" t="s">
        <v>215</v>
      </c>
      <c r="C31" s="209">
        <f t="shared" si="0"/>
        <v>0.7407407407407407</v>
      </c>
      <c r="D31" s="168">
        <v>0</v>
      </c>
      <c r="E31" s="168">
        <v>0</v>
      </c>
      <c r="F31" s="168">
        <v>0</v>
      </c>
      <c r="G31" s="168">
        <v>0</v>
      </c>
      <c r="H31" s="171">
        <v>0</v>
      </c>
      <c r="I31" s="171">
        <v>2</v>
      </c>
      <c r="J31" s="168">
        <v>0</v>
      </c>
      <c r="K31" s="168">
        <v>0</v>
      </c>
      <c r="L31" s="168">
        <v>0</v>
      </c>
      <c r="M31" s="210">
        <f t="shared" si="1"/>
        <v>2</v>
      </c>
    </row>
    <row r="32" spans="1:14" x14ac:dyDescent="0.2">
      <c r="A32" s="192" t="s">
        <v>214</v>
      </c>
      <c r="B32" s="192" t="s">
        <v>215</v>
      </c>
      <c r="C32" s="209">
        <f t="shared" si="0"/>
        <v>0.7407407407407407</v>
      </c>
      <c r="D32" s="168">
        <v>0</v>
      </c>
      <c r="E32" s="168">
        <v>0</v>
      </c>
      <c r="F32" s="168">
        <v>0</v>
      </c>
      <c r="G32" s="168">
        <v>0</v>
      </c>
      <c r="H32" s="171">
        <v>0</v>
      </c>
      <c r="I32" s="171">
        <v>2</v>
      </c>
      <c r="J32" s="168">
        <v>0</v>
      </c>
      <c r="K32" s="168">
        <v>0</v>
      </c>
      <c r="L32" s="168">
        <v>0</v>
      </c>
      <c r="M32" s="210">
        <f t="shared" si="1"/>
        <v>2</v>
      </c>
    </row>
    <row r="33" spans="1:13" x14ac:dyDescent="0.2">
      <c r="A33" s="192" t="s">
        <v>214</v>
      </c>
      <c r="B33" s="192" t="s">
        <v>215</v>
      </c>
      <c r="C33" s="209">
        <f t="shared" si="0"/>
        <v>0.7407407407407407</v>
      </c>
      <c r="D33" s="168">
        <v>0</v>
      </c>
      <c r="E33" s="168">
        <v>0</v>
      </c>
      <c r="F33" s="168">
        <v>0</v>
      </c>
      <c r="G33" s="168">
        <v>0</v>
      </c>
      <c r="H33" s="171">
        <v>0</v>
      </c>
      <c r="I33" s="171">
        <v>2</v>
      </c>
      <c r="J33" s="168">
        <v>0</v>
      </c>
      <c r="K33" s="168">
        <v>0</v>
      </c>
      <c r="L33" s="168">
        <v>0</v>
      </c>
      <c r="M33" s="210">
        <f t="shared" si="1"/>
        <v>2</v>
      </c>
    </row>
    <row r="34" spans="1:13" x14ac:dyDescent="0.2">
      <c r="A34" s="192" t="s">
        <v>223</v>
      </c>
      <c r="B34" s="192" t="s">
        <v>224</v>
      </c>
      <c r="C34" s="209">
        <f t="shared" si="0"/>
        <v>0.37037037037037035</v>
      </c>
      <c r="D34" s="168">
        <v>0</v>
      </c>
      <c r="E34" s="168">
        <v>0</v>
      </c>
      <c r="F34" s="168">
        <v>0</v>
      </c>
      <c r="G34" s="168">
        <v>0</v>
      </c>
      <c r="H34" s="171">
        <v>0</v>
      </c>
      <c r="I34" s="171">
        <v>0</v>
      </c>
      <c r="J34" s="168">
        <v>0</v>
      </c>
      <c r="K34" s="168">
        <v>0</v>
      </c>
      <c r="L34" s="168">
        <v>1</v>
      </c>
      <c r="M34" s="210">
        <f t="shared" si="1"/>
        <v>1</v>
      </c>
    </row>
    <row r="35" spans="1:13" x14ac:dyDescent="0.2">
      <c r="A35" s="192" t="s">
        <v>227</v>
      </c>
      <c r="B35" s="192" t="s">
        <v>228</v>
      </c>
      <c r="C35" s="209">
        <f t="shared" si="0"/>
        <v>1.8518518518518516</v>
      </c>
      <c r="D35" s="168">
        <v>2</v>
      </c>
      <c r="E35" s="168">
        <v>0</v>
      </c>
      <c r="F35" s="168">
        <v>1</v>
      </c>
      <c r="G35" s="168">
        <v>0</v>
      </c>
      <c r="H35" s="171">
        <v>0</v>
      </c>
      <c r="I35" s="171">
        <v>1</v>
      </c>
      <c r="J35" s="168">
        <v>0</v>
      </c>
      <c r="K35" s="168">
        <v>1</v>
      </c>
      <c r="L35" s="168">
        <v>0</v>
      </c>
      <c r="M35" s="210">
        <f t="shared" si="1"/>
        <v>5</v>
      </c>
    </row>
    <row r="36" spans="1:13" x14ac:dyDescent="0.2">
      <c r="A36" s="192" t="s">
        <v>227</v>
      </c>
      <c r="B36" s="192" t="s">
        <v>228</v>
      </c>
      <c r="C36" s="209">
        <f t="shared" si="0"/>
        <v>3.333333333333333</v>
      </c>
      <c r="D36" s="168">
        <v>2</v>
      </c>
      <c r="E36" s="168">
        <v>1</v>
      </c>
      <c r="F36" s="168">
        <v>2</v>
      </c>
      <c r="G36" s="168">
        <v>0</v>
      </c>
      <c r="H36" s="171">
        <v>0</v>
      </c>
      <c r="I36" s="171">
        <v>2</v>
      </c>
      <c r="J36" s="168">
        <v>0</v>
      </c>
      <c r="K36" s="168">
        <v>1</v>
      </c>
      <c r="L36" s="168">
        <v>1</v>
      </c>
      <c r="M36" s="210">
        <f t="shared" si="1"/>
        <v>9</v>
      </c>
    </row>
    <row r="37" spans="1:13" x14ac:dyDescent="0.2">
      <c r="A37" s="192" t="s">
        <v>227</v>
      </c>
      <c r="B37" s="192" t="s">
        <v>228</v>
      </c>
      <c r="C37" s="209">
        <f t="shared" ref="C37:C68" si="2">((M37-$M$3)/($M$2-$M$3))*10</f>
        <v>3.333333333333333</v>
      </c>
      <c r="D37" s="168">
        <v>2</v>
      </c>
      <c r="E37" s="168">
        <v>1</v>
      </c>
      <c r="F37" s="168">
        <v>2</v>
      </c>
      <c r="G37" s="168">
        <v>0</v>
      </c>
      <c r="H37" s="171">
        <v>0</v>
      </c>
      <c r="I37" s="171">
        <v>2</v>
      </c>
      <c r="J37" s="168">
        <v>0</v>
      </c>
      <c r="K37" s="168">
        <v>1</v>
      </c>
      <c r="L37" s="168">
        <v>1</v>
      </c>
      <c r="M37" s="210">
        <f t="shared" si="1"/>
        <v>9</v>
      </c>
    </row>
    <row r="38" spans="1:13" x14ac:dyDescent="0.2">
      <c r="A38" s="192" t="s">
        <v>235</v>
      </c>
      <c r="B38" s="192" t="s">
        <v>236</v>
      </c>
      <c r="C38" s="209">
        <f t="shared" si="2"/>
        <v>2.9629629629629628</v>
      </c>
      <c r="D38" s="168">
        <v>0</v>
      </c>
      <c r="E38" s="168">
        <v>0</v>
      </c>
      <c r="F38" s="168">
        <v>0</v>
      </c>
      <c r="G38" s="168">
        <v>0</v>
      </c>
      <c r="H38" s="171">
        <v>0</v>
      </c>
      <c r="I38" s="171">
        <v>3</v>
      </c>
      <c r="J38" s="168">
        <v>1</v>
      </c>
      <c r="K38" s="168">
        <v>1</v>
      </c>
      <c r="L38" s="168">
        <v>3</v>
      </c>
      <c r="M38" s="210">
        <f t="shared" si="1"/>
        <v>8</v>
      </c>
    </row>
    <row r="39" spans="1:13" x14ac:dyDescent="0.2">
      <c r="A39" s="192" t="s">
        <v>237</v>
      </c>
      <c r="B39" s="192" t="s">
        <v>238</v>
      </c>
      <c r="C39" s="209">
        <f t="shared" si="2"/>
        <v>1.8518518518518516</v>
      </c>
      <c r="D39" s="168">
        <v>0</v>
      </c>
      <c r="E39" s="168">
        <v>0</v>
      </c>
      <c r="F39" s="168">
        <v>0</v>
      </c>
      <c r="G39" s="168">
        <v>0</v>
      </c>
      <c r="H39" s="171">
        <v>0</v>
      </c>
      <c r="I39" s="171">
        <v>2</v>
      </c>
      <c r="J39" s="168">
        <v>0</v>
      </c>
      <c r="K39" s="168">
        <v>3</v>
      </c>
      <c r="L39" s="168">
        <v>0</v>
      </c>
      <c r="M39" s="210">
        <f t="shared" si="1"/>
        <v>5</v>
      </c>
    </row>
    <row r="40" spans="1:13" x14ac:dyDescent="0.2">
      <c r="A40" s="192" t="s">
        <v>241</v>
      </c>
      <c r="B40" s="192" t="s">
        <v>242</v>
      </c>
      <c r="C40" s="209">
        <f t="shared" si="2"/>
        <v>5.1851851851851851</v>
      </c>
      <c r="D40" s="168">
        <v>1</v>
      </c>
      <c r="E40" s="168">
        <v>1</v>
      </c>
      <c r="F40" s="168">
        <v>2</v>
      </c>
      <c r="G40" s="168">
        <v>0</v>
      </c>
      <c r="H40" s="171">
        <v>2</v>
      </c>
      <c r="I40" s="171">
        <v>2</v>
      </c>
      <c r="J40" s="168">
        <v>0</v>
      </c>
      <c r="K40" s="168">
        <v>3</v>
      </c>
      <c r="L40" s="168">
        <v>3</v>
      </c>
      <c r="M40" s="210">
        <f t="shared" si="1"/>
        <v>14</v>
      </c>
    </row>
    <row r="41" spans="1:13" x14ac:dyDescent="0.2">
      <c r="A41" s="192" t="s">
        <v>244</v>
      </c>
      <c r="B41" s="192" t="s">
        <v>245</v>
      </c>
      <c r="C41" s="209">
        <f t="shared" si="2"/>
        <v>0.37037037037037035</v>
      </c>
      <c r="D41" s="168">
        <v>0</v>
      </c>
      <c r="E41" s="168">
        <v>0</v>
      </c>
      <c r="F41" s="168">
        <v>0</v>
      </c>
      <c r="G41" s="168">
        <v>0</v>
      </c>
      <c r="H41" s="171">
        <v>0</v>
      </c>
      <c r="I41" s="171">
        <v>0</v>
      </c>
      <c r="J41" s="168">
        <v>0</v>
      </c>
      <c r="K41" s="168">
        <v>0</v>
      </c>
      <c r="L41" s="168">
        <v>1</v>
      </c>
      <c r="M41" s="210">
        <f t="shared" si="1"/>
        <v>1</v>
      </c>
    </row>
    <row r="42" spans="1:13" x14ac:dyDescent="0.2">
      <c r="A42" s="192" t="s">
        <v>570</v>
      </c>
      <c r="B42" s="192" t="s">
        <v>571</v>
      </c>
      <c r="C42" s="209">
        <f t="shared" si="2"/>
        <v>0</v>
      </c>
      <c r="D42" s="168">
        <v>0</v>
      </c>
      <c r="E42" s="168">
        <v>0</v>
      </c>
      <c r="F42" s="168">
        <v>0</v>
      </c>
      <c r="G42" s="168">
        <v>0</v>
      </c>
      <c r="H42" s="171">
        <v>0</v>
      </c>
      <c r="I42" s="171">
        <v>0</v>
      </c>
      <c r="J42" s="168">
        <v>0</v>
      </c>
      <c r="K42" s="168">
        <v>0</v>
      </c>
      <c r="L42" s="168">
        <v>0</v>
      </c>
      <c r="M42" s="210">
        <f t="shared" si="1"/>
        <v>0</v>
      </c>
    </row>
    <row r="43" spans="1:13" x14ac:dyDescent="0.2">
      <c r="A43" s="192" t="s">
        <v>61</v>
      </c>
      <c r="B43" s="192" t="s">
        <v>62</v>
      </c>
      <c r="C43" s="209">
        <f t="shared" si="2"/>
        <v>7.7777777777777777</v>
      </c>
      <c r="D43" s="168">
        <v>2</v>
      </c>
      <c r="E43" s="168">
        <v>3</v>
      </c>
      <c r="F43" s="168">
        <v>3</v>
      </c>
      <c r="G43" s="168">
        <v>1</v>
      </c>
      <c r="H43" s="171">
        <v>2</v>
      </c>
      <c r="I43" s="171">
        <v>3</v>
      </c>
      <c r="J43" s="168">
        <v>3</v>
      </c>
      <c r="K43" s="168">
        <v>1</v>
      </c>
      <c r="L43" s="168">
        <v>3</v>
      </c>
      <c r="M43" s="210">
        <f t="shared" si="1"/>
        <v>21</v>
      </c>
    </row>
    <row r="44" spans="1:13" x14ac:dyDescent="0.2">
      <c r="A44" s="192" t="s">
        <v>61</v>
      </c>
      <c r="B44" s="192" t="s">
        <v>62</v>
      </c>
      <c r="C44" s="209">
        <f t="shared" si="2"/>
        <v>5.5555555555555554</v>
      </c>
      <c r="D44" s="168">
        <v>1</v>
      </c>
      <c r="E44" s="168">
        <v>0</v>
      </c>
      <c r="F44" s="168">
        <v>2</v>
      </c>
      <c r="G44" s="168">
        <v>1</v>
      </c>
      <c r="H44" s="171">
        <v>2</v>
      </c>
      <c r="I44" s="171">
        <v>3</v>
      </c>
      <c r="J44" s="168">
        <v>3</v>
      </c>
      <c r="K44" s="168">
        <v>1</v>
      </c>
      <c r="L44" s="168">
        <v>2</v>
      </c>
      <c r="M44" s="210">
        <f t="shared" si="1"/>
        <v>15</v>
      </c>
    </row>
    <row r="45" spans="1:13" x14ac:dyDescent="0.2">
      <c r="A45" s="192" t="s">
        <v>61</v>
      </c>
      <c r="B45" s="192" t="s">
        <v>62</v>
      </c>
      <c r="C45" s="209">
        <f t="shared" si="2"/>
        <v>4.4444444444444446</v>
      </c>
      <c r="D45" s="168">
        <v>1</v>
      </c>
      <c r="E45" s="168">
        <v>2</v>
      </c>
      <c r="F45" s="168">
        <v>2</v>
      </c>
      <c r="G45" s="168">
        <v>1</v>
      </c>
      <c r="H45" s="171">
        <v>0</v>
      </c>
      <c r="I45" s="171">
        <v>1</v>
      </c>
      <c r="J45" s="168">
        <v>2</v>
      </c>
      <c r="K45" s="168">
        <v>1</v>
      </c>
      <c r="L45" s="168">
        <v>2</v>
      </c>
      <c r="M45" s="210">
        <f t="shared" si="1"/>
        <v>12</v>
      </c>
    </row>
    <row r="46" spans="1:13" x14ac:dyDescent="0.2">
      <c r="A46" s="192" t="s">
        <v>61</v>
      </c>
      <c r="B46" s="192" t="s">
        <v>62</v>
      </c>
      <c r="C46" s="209">
        <f t="shared" si="2"/>
        <v>3.7037037037037033</v>
      </c>
      <c r="D46" s="168">
        <v>1</v>
      </c>
      <c r="E46" s="168">
        <v>1</v>
      </c>
      <c r="F46" s="168">
        <v>2</v>
      </c>
      <c r="G46" s="168">
        <v>1</v>
      </c>
      <c r="H46" s="171">
        <v>0</v>
      </c>
      <c r="I46" s="171">
        <v>2</v>
      </c>
      <c r="J46" s="168">
        <v>0</v>
      </c>
      <c r="K46" s="168">
        <v>1</v>
      </c>
      <c r="L46" s="168">
        <v>2</v>
      </c>
      <c r="M46" s="210">
        <f t="shared" si="1"/>
        <v>10</v>
      </c>
    </row>
    <row r="47" spans="1:13" x14ac:dyDescent="0.2">
      <c r="A47" s="192" t="s">
        <v>257</v>
      </c>
      <c r="B47" s="192" t="s">
        <v>258</v>
      </c>
      <c r="C47" s="209">
        <f t="shared" si="2"/>
        <v>2.9629629629629628</v>
      </c>
      <c r="D47" s="168">
        <v>1</v>
      </c>
      <c r="E47" s="168">
        <v>1</v>
      </c>
      <c r="F47" s="168">
        <v>1</v>
      </c>
      <c r="G47" s="168">
        <v>0</v>
      </c>
      <c r="H47" s="171">
        <v>2</v>
      </c>
      <c r="I47" s="171">
        <v>2</v>
      </c>
      <c r="J47" s="168">
        <v>0</v>
      </c>
      <c r="K47" s="168">
        <v>0</v>
      </c>
      <c r="L47" s="168">
        <v>1</v>
      </c>
      <c r="M47" s="210">
        <f t="shared" si="1"/>
        <v>8</v>
      </c>
    </row>
    <row r="48" spans="1:13" x14ac:dyDescent="0.2">
      <c r="A48" s="192" t="s">
        <v>102</v>
      </c>
      <c r="B48" s="192" t="s">
        <v>103</v>
      </c>
      <c r="C48" s="209">
        <f t="shared" si="2"/>
        <v>1.4814814814814814</v>
      </c>
      <c r="D48" s="168">
        <v>0</v>
      </c>
      <c r="E48" s="168">
        <v>0</v>
      </c>
      <c r="F48" s="168">
        <v>0</v>
      </c>
      <c r="G48" s="168">
        <v>0</v>
      </c>
      <c r="H48" s="171">
        <v>0</v>
      </c>
      <c r="I48" s="171">
        <v>1</v>
      </c>
      <c r="J48" s="168">
        <v>0</v>
      </c>
      <c r="K48" s="168">
        <v>0</v>
      </c>
      <c r="L48" s="168">
        <v>3</v>
      </c>
      <c r="M48" s="210">
        <f t="shared" si="1"/>
        <v>4</v>
      </c>
    </row>
    <row r="49" spans="1:13" x14ac:dyDescent="0.2">
      <c r="A49" s="192" t="s">
        <v>108</v>
      </c>
      <c r="B49" s="192" t="s">
        <v>109</v>
      </c>
      <c r="C49" s="209">
        <f t="shared" si="2"/>
        <v>3.7037037037037033</v>
      </c>
      <c r="D49" s="168">
        <v>0</v>
      </c>
      <c r="E49" s="168">
        <v>1</v>
      </c>
      <c r="F49" s="168">
        <v>0</v>
      </c>
      <c r="G49" s="168">
        <v>0</v>
      </c>
      <c r="H49" s="171">
        <v>0</v>
      </c>
      <c r="I49" s="171">
        <v>3</v>
      </c>
      <c r="J49" s="168">
        <v>3</v>
      </c>
      <c r="K49" s="168">
        <v>0</v>
      </c>
      <c r="L49" s="168">
        <v>3</v>
      </c>
      <c r="M49" s="210">
        <f t="shared" si="1"/>
        <v>10</v>
      </c>
    </row>
    <row r="50" spans="1:13" x14ac:dyDescent="0.2">
      <c r="A50" s="192" t="s">
        <v>71</v>
      </c>
      <c r="B50" s="192" t="s">
        <v>72</v>
      </c>
      <c r="C50" s="209">
        <f t="shared" si="2"/>
        <v>5.9259259259259256</v>
      </c>
      <c r="D50" s="168">
        <v>1</v>
      </c>
      <c r="E50" s="168">
        <v>3</v>
      </c>
      <c r="F50" s="168">
        <v>2</v>
      </c>
      <c r="G50" s="168">
        <v>2</v>
      </c>
      <c r="H50" s="171">
        <v>0</v>
      </c>
      <c r="I50" s="171">
        <v>2</v>
      </c>
      <c r="J50" s="168">
        <v>3</v>
      </c>
      <c r="K50" s="168">
        <v>0</v>
      </c>
      <c r="L50" s="168">
        <v>3</v>
      </c>
      <c r="M50" s="210">
        <f t="shared" si="1"/>
        <v>16</v>
      </c>
    </row>
    <row r="51" spans="1:13" x14ac:dyDescent="0.2">
      <c r="A51" s="192" t="s">
        <v>266</v>
      </c>
      <c r="B51" s="192" t="s">
        <v>267</v>
      </c>
      <c r="C51" s="209">
        <f t="shared" si="2"/>
        <v>0.7407407407407407</v>
      </c>
      <c r="D51" s="168">
        <v>1</v>
      </c>
      <c r="E51" s="168">
        <v>0</v>
      </c>
      <c r="F51" s="168">
        <v>0</v>
      </c>
      <c r="G51" s="168">
        <v>0</v>
      </c>
      <c r="H51" s="171">
        <v>0</v>
      </c>
      <c r="I51" s="171">
        <v>1</v>
      </c>
      <c r="J51" s="168">
        <v>0</v>
      </c>
      <c r="K51" s="168">
        <v>0</v>
      </c>
      <c r="L51" s="168">
        <v>0</v>
      </c>
      <c r="M51" s="210">
        <f t="shared" si="1"/>
        <v>2</v>
      </c>
    </row>
    <row r="52" spans="1:13" x14ac:dyDescent="0.2">
      <c r="A52" s="192" t="s">
        <v>270</v>
      </c>
      <c r="B52" s="192" t="s">
        <v>271</v>
      </c>
      <c r="C52" s="209">
        <f t="shared" si="2"/>
        <v>4.4444444444444446</v>
      </c>
      <c r="D52" s="168">
        <v>1</v>
      </c>
      <c r="E52" s="168">
        <v>2</v>
      </c>
      <c r="F52" s="168">
        <v>1</v>
      </c>
      <c r="G52" s="168">
        <v>0</v>
      </c>
      <c r="H52" s="171">
        <v>2</v>
      </c>
      <c r="I52" s="171">
        <v>2</v>
      </c>
      <c r="J52" s="168">
        <v>2</v>
      </c>
      <c r="K52" s="168">
        <v>0</v>
      </c>
      <c r="L52" s="168">
        <v>2</v>
      </c>
      <c r="M52" s="210">
        <f t="shared" si="1"/>
        <v>12</v>
      </c>
    </row>
    <row r="53" spans="1:13" x14ac:dyDescent="0.2">
      <c r="A53" s="192" t="s">
        <v>276</v>
      </c>
      <c r="B53" s="192" t="s">
        <v>277</v>
      </c>
      <c r="C53" s="209">
        <f t="shared" si="2"/>
        <v>3.7037037037037033</v>
      </c>
      <c r="D53" s="168">
        <v>1</v>
      </c>
      <c r="E53" s="168">
        <v>1</v>
      </c>
      <c r="F53" s="168">
        <v>1</v>
      </c>
      <c r="G53" s="168">
        <v>0</v>
      </c>
      <c r="H53" s="171">
        <v>2</v>
      </c>
      <c r="I53" s="171">
        <v>2</v>
      </c>
      <c r="J53" s="168">
        <v>1</v>
      </c>
      <c r="K53" s="168">
        <v>1</v>
      </c>
      <c r="L53" s="168">
        <v>1</v>
      </c>
      <c r="M53" s="210">
        <f t="shared" si="1"/>
        <v>10</v>
      </c>
    </row>
    <row r="54" spans="1:13" x14ac:dyDescent="0.2">
      <c r="A54" s="192" t="s">
        <v>110</v>
      </c>
      <c r="B54" s="192" t="s">
        <v>111</v>
      </c>
      <c r="C54" s="209">
        <f t="shared" si="2"/>
        <v>4.8148148148148149</v>
      </c>
      <c r="D54" s="168">
        <v>1</v>
      </c>
      <c r="E54" s="168">
        <v>2</v>
      </c>
      <c r="F54" s="168">
        <v>1</v>
      </c>
      <c r="G54" s="168">
        <v>0</v>
      </c>
      <c r="H54" s="171">
        <v>2</v>
      </c>
      <c r="I54" s="171">
        <v>2</v>
      </c>
      <c r="J54" s="168">
        <v>2</v>
      </c>
      <c r="K54" s="168">
        <v>3</v>
      </c>
      <c r="L54" s="168">
        <v>0</v>
      </c>
      <c r="M54" s="210">
        <f t="shared" si="1"/>
        <v>13</v>
      </c>
    </row>
    <row r="55" spans="1:13" x14ac:dyDescent="0.2">
      <c r="A55" s="192" t="s">
        <v>110</v>
      </c>
      <c r="B55" s="192" t="s">
        <v>111</v>
      </c>
      <c r="C55" s="209">
        <f t="shared" si="2"/>
        <v>4.4444444444444446</v>
      </c>
      <c r="D55" s="168">
        <v>1</v>
      </c>
      <c r="E55" s="168">
        <v>1</v>
      </c>
      <c r="F55" s="168">
        <v>1</v>
      </c>
      <c r="G55" s="168">
        <v>0</v>
      </c>
      <c r="H55" s="171">
        <v>2</v>
      </c>
      <c r="I55" s="171">
        <v>2</v>
      </c>
      <c r="J55" s="168">
        <v>2</v>
      </c>
      <c r="K55" s="168">
        <v>3</v>
      </c>
      <c r="L55" s="168">
        <v>0</v>
      </c>
      <c r="M55" s="210">
        <f t="shared" si="1"/>
        <v>12</v>
      </c>
    </row>
    <row r="56" spans="1:13" x14ac:dyDescent="0.2">
      <c r="A56" s="192" t="s">
        <v>110</v>
      </c>
      <c r="B56" s="192" t="s">
        <v>111</v>
      </c>
      <c r="C56" s="209">
        <f t="shared" si="2"/>
        <v>2.9629629629629628</v>
      </c>
      <c r="D56" s="168">
        <v>1</v>
      </c>
      <c r="E56" s="168">
        <v>2</v>
      </c>
      <c r="F56" s="168">
        <v>1</v>
      </c>
      <c r="G56" s="168">
        <v>0</v>
      </c>
      <c r="H56" s="171">
        <v>0</v>
      </c>
      <c r="I56" s="171">
        <v>1</v>
      </c>
      <c r="J56" s="168">
        <v>0</v>
      </c>
      <c r="K56" s="168">
        <v>3</v>
      </c>
      <c r="L56" s="168">
        <v>0</v>
      </c>
      <c r="M56" s="210">
        <f t="shared" si="1"/>
        <v>8</v>
      </c>
    </row>
    <row r="57" spans="1:13" x14ac:dyDescent="0.2">
      <c r="A57" s="192" t="s">
        <v>285</v>
      </c>
      <c r="B57" s="192" t="s">
        <v>286</v>
      </c>
      <c r="C57" s="209">
        <f t="shared" si="2"/>
        <v>1.8518518518518516</v>
      </c>
      <c r="D57" s="168">
        <v>0</v>
      </c>
      <c r="E57" s="168">
        <v>1</v>
      </c>
      <c r="F57" s="168">
        <v>1</v>
      </c>
      <c r="G57" s="168">
        <v>0</v>
      </c>
      <c r="H57" s="171">
        <v>0</v>
      </c>
      <c r="I57" s="171">
        <v>2</v>
      </c>
      <c r="J57" s="168">
        <v>0</v>
      </c>
      <c r="K57" s="168">
        <v>0</v>
      </c>
      <c r="L57" s="168">
        <v>1</v>
      </c>
      <c r="M57" s="210">
        <f t="shared" si="1"/>
        <v>5</v>
      </c>
    </row>
    <row r="58" spans="1:13" x14ac:dyDescent="0.2">
      <c r="A58" s="192" t="s">
        <v>289</v>
      </c>
      <c r="B58" s="192" t="s">
        <v>290</v>
      </c>
      <c r="C58" s="209">
        <f t="shared" si="2"/>
        <v>1.4814814814814814</v>
      </c>
      <c r="D58" s="168">
        <v>0</v>
      </c>
      <c r="E58" s="168">
        <v>0</v>
      </c>
      <c r="F58" s="168">
        <v>0</v>
      </c>
      <c r="G58" s="168">
        <v>0</v>
      </c>
      <c r="H58" s="171">
        <v>0</v>
      </c>
      <c r="I58" s="171">
        <v>2</v>
      </c>
      <c r="J58" s="168">
        <v>0</v>
      </c>
      <c r="K58" s="168">
        <v>2</v>
      </c>
      <c r="L58" s="168">
        <v>0</v>
      </c>
      <c r="M58" s="210">
        <f t="shared" si="1"/>
        <v>4</v>
      </c>
    </row>
    <row r="59" spans="1:13" x14ac:dyDescent="0.2">
      <c r="A59" s="192" t="s">
        <v>86</v>
      </c>
      <c r="B59" s="192" t="s">
        <v>87</v>
      </c>
      <c r="C59" s="209">
        <f t="shared" si="2"/>
        <v>3.333333333333333</v>
      </c>
      <c r="D59" s="168">
        <v>0</v>
      </c>
      <c r="E59" s="168">
        <v>0</v>
      </c>
      <c r="F59" s="168">
        <v>0</v>
      </c>
      <c r="G59" s="168">
        <v>0</v>
      </c>
      <c r="H59" s="171">
        <v>2</v>
      </c>
      <c r="I59" s="171">
        <v>2</v>
      </c>
      <c r="J59" s="168">
        <v>2</v>
      </c>
      <c r="K59" s="168">
        <v>0</v>
      </c>
      <c r="L59" s="168">
        <v>3</v>
      </c>
      <c r="M59" s="210">
        <f t="shared" si="1"/>
        <v>9</v>
      </c>
    </row>
    <row r="60" spans="1:13" x14ac:dyDescent="0.2">
      <c r="A60" s="192" t="s">
        <v>86</v>
      </c>
      <c r="B60" s="192" t="s">
        <v>87</v>
      </c>
      <c r="C60" s="209">
        <f t="shared" si="2"/>
        <v>3.333333333333333</v>
      </c>
      <c r="D60" s="168">
        <v>0</v>
      </c>
      <c r="E60" s="168">
        <v>0</v>
      </c>
      <c r="F60" s="168">
        <v>0</v>
      </c>
      <c r="G60" s="168">
        <v>0</v>
      </c>
      <c r="H60" s="171">
        <v>2</v>
      </c>
      <c r="I60" s="171">
        <v>2</v>
      </c>
      <c r="J60" s="168">
        <v>2</v>
      </c>
      <c r="K60" s="168">
        <v>0</v>
      </c>
      <c r="L60" s="168">
        <v>3</v>
      </c>
      <c r="M60" s="210">
        <f t="shared" si="1"/>
        <v>9</v>
      </c>
    </row>
    <row r="61" spans="1:13" x14ac:dyDescent="0.2">
      <c r="A61" s="192" t="s">
        <v>86</v>
      </c>
      <c r="B61" s="192" t="s">
        <v>87</v>
      </c>
      <c r="C61" s="209">
        <f t="shared" si="2"/>
        <v>2.5925925925925926</v>
      </c>
      <c r="D61" s="168">
        <v>0</v>
      </c>
      <c r="E61" s="168">
        <v>0</v>
      </c>
      <c r="F61" s="168">
        <v>0</v>
      </c>
      <c r="G61" s="168">
        <v>0</v>
      </c>
      <c r="H61" s="171">
        <v>0</v>
      </c>
      <c r="I61" s="171">
        <v>2</v>
      </c>
      <c r="J61" s="168">
        <v>2</v>
      </c>
      <c r="K61" s="168">
        <v>0</v>
      </c>
      <c r="L61" s="168">
        <v>3</v>
      </c>
      <c r="M61" s="210">
        <f t="shared" si="1"/>
        <v>7</v>
      </c>
    </row>
    <row r="62" spans="1:13" x14ac:dyDescent="0.2">
      <c r="A62" s="192" t="s">
        <v>112</v>
      </c>
      <c r="B62" s="192" t="s">
        <v>113</v>
      </c>
      <c r="C62" s="209">
        <f t="shared" si="2"/>
        <v>4.0740740740740735</v>
      </c>
      <c r="D62" s="168">
        <v>0</v>
      </c>
      <c r="E62" s="168">
        <v>1</v>
      </c>
      <c r="F62" s="168">
        <v>1</v>
      </c>
      <c r="G62" s="168">
        <v>0</v>
      </c>
      <c r="H62" s="171">
        <v>1</v>
      </c>
      <c r="I62" s="171">
        <v>3</v>
      </c>
      <c r="J62" s="168">
        <v>1</v>
      </c>
      <c r="K62" s="168">
        <v>3</v>
      </c>
      <c r="L62" s="168">
        <v>1</v>
      </c>
      <c r="M62" s="210">
        <f t="shared" si="1"/>
        <v>11</v>
      </c>
    </row>
    <row r="63" spans="1:13" x14ac:dyDescent="0.2">
      <c r="A63" s="192" t="s">
        <v>112</v>
      </c>
      <c r="B63" s="192" t="s">
        <v>113</v>
      </c>
      <c r="C63" s="209">
        <f t="shared" si="2"/>
        <v>4.4444444444444446</v>
      </c>
      <c r="D63" s="168">
        <v>0</v>
      </c>
      <c r="E63" s="168">
        <v>1</v>
      </c>
      <c r="F63" s="168">
        <v>1</v>
      </c>
      <c r="G63" s="168">
        <v>0</v>
      </c>
      <c r="H63" s="171">
        <v>1</v>
      </c>
      <c r="I63" s="171">
        <v>3</v>
      </c>
      <c r="J63" s="168">
        <v>3</v>
      </c>
      <c r="K63" s="168">
        <v>3</v>
      </c>
      <c r="L63" s="168">
        <v>0</v>
      </c>
      <c r="M63" s="210">
        <f t="shared" si="1"/>
        <v>12</v>
      </c>
    </row>
    <row r="64" spans="1:13" x14ac:dyDescent="0.2">
      <c r="A64" s="192" t="s">
        <v>84</v>
      </c>
      <c r="B64" s="192" t="s">
        <v>85</v>
      </c>
      <c r="C64" s="209">
        <f t="shared" si="2"/>
        <v>5.5555555555555554</v>
      </c>
      <c r="D64" s="168">
        <v>1</v>
      </c>
      <c r="E64" s="168">
        <v>3</v>
      </c>
      <c r="F64" s="168">
        <v>2</v>
      </c>
      <c r="G64" s="168">
        <v>0</v>
      </c>
      <c r="H64" s="171">
        <v>2</v>
      </c>
      <c r="I64" s="171">
        <v>3</v>
      </c>
      <c r="J64" s="168">
        <v>0</v>
      </c>
      <c r="K64" s="168">
        <v>1</v>
      </c>
      <c r="L64" s="168">
        <v>3</v>
      </c>
      <c r="M64" s="210">
        <f t="shared" si="1"/>
        <v>15</v>
      </c>
    </row>
    <row r="65" spans="1:13" x14ac:dyDescent="0.2">
      <c r="A65" s="192" t="s">
        <v>84</v>
      </c>
      <c r="B65" s="192" t="s">
        <v>85</v>
      </c>
      <c r="C65" s="209">
        <f t="shared" si="2"/>
        <v>5.1851851851851851</v>
      </c>
      <c r="D65" s="168">
        <v>1</v>
      </c>
      <c r="E65" s="168">
        <v>3</v>
      </c>
      <c r="F65" s="168">
        <v>2</v>
      </c>
      <c r="G65" s="168">
        <v>0</v>
      </c>
      <c r="H65" s="171">
        <v>2</v>
      </c>
      <c r="I65" s="171">
        <v>3</v>
      </c>
      <c r="J65" s="168">
        <v>0</v>
      </c>
      <c r="K65" s="168">
        <v>1</v>
      </c>
      <c r="L65" s="168">
        <v>2</v>
      </c>
      <c r="M65" s="210">
        <f t="shared" si="1"/>
        <v>14</v>
      </c>
    </row>
    <row r="66" spans="1:13" x14ac:dyDescent="0.2">
      <c r="A66" s="192" t="s">
        <v>84</v>
      </c>
      <c r="B66" s="192" t="s">
        <v>85</v>
      </c>
      <c r="C66" s="209">
        <f t="shared" si="2"/>
        <v>3.333333333333333</v>
      </c>
      <c r="D66" s="168">
        <v>1</v>
      </c>
      <c r="E66" s="168">
        <v>2</v>
      </c>
      <c r="F66" s="168">
        <v>0</v>
      </c>
      <c r="G66" s="168">
        <v>0</v>
      </c>
      <c r="H66" s="171">
        <v>0</v>
      </c>
      <c r="I66" s="171">
        <v>2</v>
      </c>
      <c r="J66" s="168">
        <v>0</v>
      </c>
      <c r="K66" s="168">
        <v>1</v>
      </c>
      <c r="L66" s="168">
        <v>3</v>
      </c>
      <c r="M66" s="210">
        <f t="shared" si="1"/>
        <v>9</v>
      </c>
    </row>
    <row r="67" spans="1:13" x14ac:dyDescent="0.2">
      <c r="A67" s="192" t="s">
        <v>306</v>
      </c>
      <c r="B67" s="192" t="s">
        <v>307</v>
      </c>
      <c r="C67" s="209">
        <f t="shared" si="2"/>
        <v>1.4814814814814814</v>
      </c>
      <c r="D67" s="168">
        <v>0</v>
      </c>
      <c r="E67" s="168">
        <v>0</v>
      </c>
      <c r="F67" s="168">
        <v>0</v>
      </c>
      <c r="G67" s="168">
        <v>0</v>
      </c>
      <c r="H67" s="171">
        <v>0</v>
      </c>
      <c r="I67" s="171">
        <v>0</v>
      </c>
      <c r="J67" s="168">
        <v>0</v>
      </c>
      <c r="K67" s="168">
        <v>2</v>
      </c>
      <c r="L67" s="168">
        <v>2</v>
      </c>
      <c r="M67" s="210">
        <f t="shared" si="1"/>
        <v>4</v>
      </c>
    </row>
    <row r="68" spans="1:13" x14ac:dyDescent="0.2">
      <c r="A68" s="192" t="s">
        <v>306</v>
      </c>
      <c r="B68" s="192" t="s">
        <v>307</v>
      </c>
      <c r="C68" s="209">
        <f t="shared" si="2"/>
        <v>0.7407407407407407</v>
      </c>
      <c r="D68" s="168">
        <v>0</v>
      </c>
      <c r="E68" s="168">
        <v>0</v>
      </c>
      <c r="F68" s="168">
        <v>0</v>
      </c>
      <c r="G68" s="168">
        <v>0</v>
      </c>
      <c r="H68" s="171">
        <v>0</v>
      </c>
      <c r="I68" s="171">
        <v>0</v>
      </c>
      <c r="J68" s="168">
        <v>0</v>
      </c>
      <c r="K68" s="168">
        <v>2</v>
      </c>
      <c r="L68" s="168">
        <v>0</v>
      </c>
      <c r="M68" s="210">
        <f t="shared" si="1"/>
        <v>2</v>
      </c>
    </row>
    <row r="69" spans="1:13" x14ac:dyDescent="0.2">
      <c r="A69" s="192" t="s">
        <v>306</v>
      </c>
      <c r="B69" s="192" t="s">
        <v>307</v>
      </c>
      <c r="C69" s="209">
        <f t="shared" ref="C69:C100" si="3">((M69-$M$3)/($M$2-$M$3))*10</f>
        <v>1.4814814814814814</v>
      </c>
      <c r="D69" s="168">
        <v>0</v>
      </c>
      <c r="E69" s="168">
        <v>0</v>
      </c>
      <c r="F69" s="168">
        <v>0</v>
      </c>
      <c r="G69" s="168">
        <v>0</v>
      </c>
      <c r="H69" s="171">
        <v>0</v>
      </c>
      <c r="I69" s="171">
        <v>0</v>
      </c>
      <c r="J69" s="168">
        <v>0</v>
      </c>
      <c r="K69" s="168">
        <v>2</v>
      </c>
      <c r="L69" s="168">
        <v>2</v>
      </c>
      <c r="M69" s="210">
        <f t="shared" si="1"/>
        <v>4</v>
      </c>
    </row>
    <row r="70" spans="1:13" x14ac:dyDescent="0.2">
      <c r="A70" s="192" t="s">
        <v>574</v>
      </c>
      <c r="B70" s="192" t="s">
        <v>575</v>
      </c>
      <c r="C70" s="209">
        <f t="shared" si="3"/>
        <v>0</v>
      </c>
      <c r="D70" s="168">
        <v>0</v>
      </c>
      <c r="E70" s="168">
        <v>0</v>
      </c>
      <c r="F70" s="168">
        <v>0</v>
      </c>
      <c r="G70" s="168">
        <v>0</v>
      </c>
      <c r="H70" s="171">
        <v>0</v>
      </c>
      <c r="I70" s="171">
        <v>0</v>
      </c>
      <c r="J70" s="168">
        <v>0</v>
      </c>
      <c r="K70" s="168">
        <v>0</v>
      </c>
      <c r="L70" s="168">
        <v>0</v>
      </c>
      <c r="M70" s="210">
        <f t="shared" ref="M70:M133" si="4">SUM(D70:L70)</f>
        <v>0</v>
      </c>
    </row>
    <row r="71" spans="1:13" x14ac:dyDescent="0.2">
      <c r="A71" s="192" t="s">
        <v>576</v>
      </c>
      <c r="B71" s="192" t="s">
        <v>577</v>
      </c>
      <c r="C71" s="209">
        <f t="shared" si="3"/>
        <v>0</v>
      </c>
      <c r="D71" s="168">
        <v>0</v>
      </c>
      <c r="E71" s="168">
        <v>0</v>
      </c>
      <c r="F71" s="168">
        <v>0</v>
      </c>
      <c r="G71" s="168">
        <v>0</v>
      </c>
      <c r="H71" s="171">
        <v>0</v>
      </c>
      <c r="I71" s="171">
        <v>0</v>
      </c>
      <c r="J71" s="168">
        <v>0</v>
      </c>
      <c r="K71" s="168">
        <v>0</v>
      </c>
      <c r="L71" s="168">
        <v>0</v>
      </c>
      <c r="M71" s="210">
        <f t="shared" si="4"/>
        <v>0</v>
      </c>
    </row>
    <row r="72" spans="1:13" x14ac:dyDescent="0.2">
      <c r="A72" s="192" t="s">
        <v>312</v>
      </c>
      <c r="B72" s="192" t="s">
        <v>313</v>
      </c>
      <c r="C72" s="209">
        <f t="shared" si="3"/>
        <v>2.2222222222222223</v>
      </c>
      <c r="D72" s="168">
        <v>0</v>
      </c>
      <c r="E72" s="168">
        <v>0</v>
      </c>
      <c r="F72" s="168">
        <v>1</v>
      </c>
      <c r="G72" s="168">
        <v>0</v>
      </c>
      <c r="H72" s="171">
        <v>0</v>
      </c>
      <c r="I72" s="171">
        <v>1</v>
      </c>
      <c r="J72" s="168">
        <v>0</v>
      </c>
      <c r="K72" s="168">
        <v>1</v>
      </c>
      <c r="L72" s="168">
        <v>3</v>
      </c>
      <c r="M72" s="210">
        <f t="shared" si="4"/>
        <v>6</v>
      </c>
    </row>
    <row r="73" spans="1:13" x14ac:dyDescent="0.2">
      <c r="A73" s="192" t="s">
        <v>312</v>
      </c>
      <c r="B73" s="192" t="s">
        <v>313</v>
      </c>
      <c r="C73" s="209">
        <f t="shared" si="3"/>
        <v>1.4814814814814814</v>
      </c>
      <c r="D73" s="168">
        <v>0</v>
      </c>
      <c r="E73" s="168">
        <v>0</v>
      </c>
      <c r="F73" s="168">
        <v>0</v>
      </c>
      <c r="G73" s="168">
        <v>0</v>
      </c>
      <c r="H73" s="171">
        <v>0</v>
      </c>
      <c r="I73" s="171">
        <v>1</v>
      </c>
      <c r="J73" s="168">
        <v>0</v>
      </c>
      <c r="K73" s="168">
        <v>1</v>
      </c>
      <c r="L73" s="168">
        <v>2</v>
      </c>
      <c r="M73" s="210">
        <f t="shared" si="4"/>
        <v>4</v>
      </c>
    </row>
    <row r="74" spans="1:13" x14ac:dyDescent="0.2">
      <c r="A74" s="192" t="s">
        <v>312</v>
      </c>
      <c r="B74" s="192" t="s">
        <v>313</v>
      </c>
      <c r="C74" s="209">
        <f t="shared" si="3"/>
        <v>1.8518518518518516</v>
      </c>
      <c r="D74" s="168">
        <v>0</v>
      </c>
      <c r="E74" s="168">
        <v>0</v>
      </c>
      <c r="F74" s="168">
        <v>1</v>
      </c>
      <c r="G74" s="168">
        <v>0</v>
      </c>
      <c r="H74" s="171">
        <v>0</v>
      </c>
      <c r="I74" s="171">
        <v>0</v>
      </c>
      <c r="J74" s="168">
        <v>0</v>
      </c>
      <c r="K74" s="168">
        <v>1</v>
      </c>
      <c r="L74" s="168">
        <v>3</v>
      </c>
      <c r="M74" s="210">
        <f t="shared" si="4"/>
        <v>5</v>
      </c>
    </row>
    <row r="75" spans="1:13" x14ac:dyDescent="0.2">
      <c r="A75" s="192" t="s">
        <v>315</v>
      </c>
      <c r="B75" s="192" t="s">
        <v>316</v>
      </c>
      <c r="C75" s="209">
        <f t="shared" si="3"/>
        <v>0.37037037037037035</v>
      </c>
      <c r="D75" s="168">
        <v>0</v>
      </c>
      <c r="E75" s="168">
        <v>1</v>
      </c>
      <c r="F75" s="168">
        <v>0</v>
      </c>
      <c r="G75" s="168">
        <v>0</v>
      </c>
      <c r="H75" s="171">
        <v>0</v>
      </c>
      <c r="I75" s="171">
        <v>0</v>
      </c>
      <c r="J75" s="168">
        <v>0</v>
      </c>
      <c r="K75" s="168">
        <v>0</v>
      </c>
      <c r="L75" s="168">
        <v>0</v>
      </c>
      <c r="M75" s="210">
        <f t="shared" si="4"/>
        <v>1</v>
      </c>
    </row>
    <row r="76" spans="1:13" x14ac:dyDescent="0.2">
      <c r="A76" s="192" t="s">
        <v>81</v>
      </c>
      <c r="B76" s="192" t="s">
        <v>83</v>
      </c>
      <c r="C76" s="209">
        <f t="shared" si="3"/>
        <v>1.8518518518518516</v>
      </c>
      <c r="D76" s="168">
        <v>1</v>
      </c>
      <c r="E76" s="168">
        <v>0</v>
      </c>
      <c r="F76" s="168">
        <v>1</v>
      </c>
      <c r="G76" s="168">
        <v>0</v>
      </c>
      <c r="H76" s="171">
        <v>0</v>
      </c>
      <c r="I76" s="171">
        <v>2</v>
      </c>
      <c r="J76" s="168">
        <v>0</v>
      </c>
      <c r="K76" s="168">
        <v>0</v>
      </c>
      <c r="L76" s="168">
        <v>1</v>
      </c>
      <c r="M76" s="210">
        <f t="shared" si="4"/>
        <v>5</v>
      </c>
    </row>
    <row r="77" spans="1:13" x14ac:dyDescent="0.2">
      <c r="A77" s="192" t="s">
        <v>81</v>
      </c>
      <c r="B77" s="192" t="s">
        <v>83</v>
      </c>
      <c r="C77" s="209">
        <f t="shared" si="3"/>
        <v>1.1111111111111112</v>
      </c>
      <c r="D77" s="168">
        <v>1</v>
      </c>
      <c r="E77" s="168">
        <v>0</v>
      </c>
      <c r="F77" s="168">
        <v>1</v>
      </c>
      <c r="G77" s="168">
        <v>0</v>
      </c>
      <c r="H77" s="171">
        <v>0</v>
      </c>
      <c r="I77" s="171">
        <v>0</v>
      </c>
      <c r="J77" s="168">
        <v>0</v>
      </c>
      <c r="K77" s="168">
        <v>0</v>
      </c>
      <c r="L77" s="168">
        <v>1</v>
      </c>
      <c r="M77" s="210">
        <f t="shared" si="4"/>
        <v>3</v>
      </c>
    </row>
    <row r="78" spans="1:13" x14ac:dyDescent="0.2">
      <c r="A78" s="192" t="s">
        <v>81</v>
      </c>
      <c r="B78" s="192" t="s">
        <v>83</v>
      </c>
      <c r="C78" s="209">
        <f t="shared" si="3"/>
        <v>1.8518518518518516</v>
      </c>
      <c r="D78" s="168">
        <v>1</v>
      </c>
      <c r="E78" s="168">
        <v>0</v>
      </c>
      <c r="F78" s="168">
        <v>1</v>
      </c>
      <c r="G78" s="168">
        <v>0</v>
      </c>
      <c r="H78" s="171">
        <v>0</v>
      </c>
      <c r="I78" s="171">
        <v>2</v>
      </c>
      <c r="J78" s="168">
        <v>0</v>
      </c>
      <c r="K78" s="168">
        <v>0</v>
      </c>
      <c r="L78" s="168">
        <v>1</v>
      </c>
      <c r="M78" s="210">
        <f t="shared" si="4"/>
        <v>5</v>
      </c>
    </row>
    <row r="79" spans="1:13" x14ac:dyDescent="0.2">
      <c r="A79" s="192" t="s">
        <v>323</v>
      </c>
      <c r="B79" s="192" t="s">
        <v>324</v>
      </c>
      <c r="C79" s="209">
        <f t="shared" si="3"/>
        <v>4.4444444444444446</v>
      </c>
      <c r="D79" s="168">
        <v>0</v>
      </c>
      <c r="E79" s="168">
        <v>1</v>
      </c>
      <c r="F79" s="168">
        <v>0</v>
      </c>
      <c r="G79" s="168">
        <v>1</v>
      </c>
      <c r="H79" s="171">
        <v>2</v>
      </c>
      <c r="I79" s="171">
        <v>3</v>
      </c>
      <c r="J79" s="168">
        <v>2</v>
      </c>
      <c r="K79" s="168">
        <v>0</v>
      </c>
      <c r="L79" s="168">
        <v>3</v>
      </c>
      <c r="M79" s="210">
        <f t="shared" si="4"/>
        <v>12</v>
      </c>
    </row>
    <row r="80" spans="1:13" x14ac:dyDescent="0.2">
      <c r="A80" s="192" t="s">
        <v>323</v>
      </c>
      <c r="B80" s="192" t="s">
        <v>324</v>
      </c>
      <c r="C80" s="209">
        <f t="shared" si="3"/>
        <v>4.0740740740740735</v>
      </c>
      <c r="D80" s="168">
        <v>0</v>
      </c>
      <c r="E80" s="168">
        <v>1</v>
      </c>
      <c r="F80" s="168">
        <v>0</v>
      </c>
      <c r="G80" s="168">
        <v>1</v>
      </c>
      <c r="H80" s="171">
        <v>2</v>
      </c>
      <c r="I80" s="171">
        <v>2</v>
      </c>
      <c r="J80" s="168">
        <v>2</v>
      </c>
      <c r="K80" s="168">
        <v>0</v>
      </c>
      <c r="L80" s="168">
        <v>3</v>
      </c>
      <c r="M80" s="210">
        <f t="shared" si="4"/>
        <v>11</v>
      </c>
    </row>
    <row r="81" spans="1:13" x14ac:dyDescent="0.2">
      <c r="A81" s="192" t="s">
        <v>323</v>
      </c>
      <c r="B81" s="192" t="s">
        <v>324</v>
      </c>
      <c r="C81" s="209">
        <f t="shared" si="3"/>
        <v>4.4444444444444446</v>
      </c>
      <c r="D81" s="168">
        <v>0</v>
      </c>
      <c r="E81" s="168">
        <v>1</v>
      </c>
      <c r="F81" s="168">
        <v>0</v>
      </c>
      <c r="G81" s="168">
        <v>1</v>
      </c>
      <c r="H81" s="171">
        <v>2</v>
      </c>
      <c r="I81" s="171">
        <v>3</v>
      </c>
      <c r="J81" s="168">
        <v>2</v>
      </c>
      <c r="K81" s="168">
        <v>0</v>
      </c>
      <c r="L81" s="168">
        <v>3</v>
      </c>
      <c r="M81" s="210">
        <f t="shared" si="4"/>
        <v>12</v>
      </c>
    </row>
    <row r="82" spans="1:13" x14ac:dyDescent="0.2">
      <c r="A82" s="192" t="s">
        <v>65</v>
      </c>
      <c r="B82" s="192" t="s">
        <v>66</v>
      </c>
      <c r="C82" s="209">
        <f t="shared" si="3"/>
        <v>6.6666666666666661</v>
      </c>
      <c r="D82" s="168">
        <v>0</v>
      </c>
      <c r="E82" s="168">
        <v>3</v>
      </c>
      <c r="F82" s="168">
        <v>2</v>
      </c>
      <c r="G82" s="168">
        <v>3</v>
      </c>
      <c r="H82" s="171">
        <v>2</v>
      </c>
      <c r="I82" s="171">
        <v>2</v>
      </c>
      <c r="J82" s="168">
        <v>3</v>
      </c>
      <c r="K82" s="168">
        <v>1</v>
      </c>
      <c r="L82" s="168">
        <v>2</v>
      </c>
      <c r="M82" s="210">
        <f t="shared" si="4"/>
        <v>18</v>
      </c>
    </row>
    <row r="83" spans="1:13" x14ac:dyDescent="0.2">
      <c r="A83" s="192" t="s">
        <v>69</v>
      </c>
      <c r="B83" s="192" t="s">
        <v>70</v>
      </c>
      <c r="C83" s="209">
        <f t="shared" si="3"/>
        <v>8.8888888888888893</v>
      </c>
      <c r="D83" s="168">
        <v>2</v>
      </c>
      <c r="E83" s="168">
        <v>3</v>
      </c>
      <c r="F83" s="168">
        <v>3</v>
      </c>
      <c r="G83" s="168">
        <v>3</v>
      </c>
      <c r="H83" s="171">
        <v>3</v>
      </c>
      <c r="I83" s="171">
        <v>3</v>
      </c>
      <c r="J83" s="168">
        <v>3</v>
      </c>
      <c r="K83" s="168">
        <v>1</v>
      </c>
      <c r="L83" s="168">
        <v>3</v>
      </c>
      <c r="M83" s="210">
        <f t="shared" si="4"/>
        <v>24</v>
      </c>
    </row>
    <row r="84" spans="1:13" x14ac:dyDescent="0.2">
      <c r="A84" s="192" t="s">
        <v>69</v>
      </c>
      <c r="B84" s="192" t="s">
        <v>70</v>
      </c>
      <c r="C84" s="209">
        <f t="shared" si="3"/>
        <v>8.518518518518519</v>
      </c>
      <c r="D84" s="168">
        <v>2</v>
      </c>
      <c r="E84" s="168">
        <v>3</v>
      </c>
      <c r="F84" s="168">
        <v>3</v>
      </c>
      <c r="G84" s="168">
        <v>2</v>
      </c>
      <c r="H84" s="171">
        <v>3</v>
      </c>
      <c r="I84" s="171">
        <v>3</v>
      </c>
      <c r="J84" s="168">
        <v>3</v>
      </c>
      <c r="K84" s="168">
        <v>1</v>
      </c>
      <c r="L84" s="168">
        <v>3</v>
      </c>
      <c r="M84" s="210">
        <f t="shared" si="4"/>
        <v>23</v>
      </c>
    </row>
    <row r="85" spans="1:13" x14ac:dyDescent="0.2">
      <c r="A85" s="192" t="s">
        <v>69</v>
      </c>
      <c r="B85" s="192" t="s">
        <v>70</v>
      </c>
      <c r="C85" s="209">
        <f t="shared" si="3"/>
        <v>7.0370370370370372</v>
      </c>
      <c r="D85" s="168">
        <v>2</v>
      </c>
      <c r="E85" s="168">
        <v>3</v>
      </c>
      <c r="F85" s="168">
        <v>1</v>
      </c>
      <c r="G85" s="168">
        <v>1</v>
      </c>
      <c r="H85" s="171">
        <v>2</v>
      </c>
      <c r="I85" s="171">
        <v>3</v>
      </c>
      <c r="J85" s="168">
        <v>3</v>
      </c>
      <c r="K85" s="168">
        <v>1</v>
      </c>
      <c r="L85" s="168">
        <v>3</v>
      </c>
      <c r="M85" s="210">
        <f t="shared" si="4"/>
        <v>19</v>
      </c>
    </row>
    <row r="86" spans="1:13" x14ac:dyDescent="0.2">
      <c r="A86" s="192" t="s">
        <v>69</v>
      </c>
      <c r="B86" s="192" t="s">
        <v>70</v>
      </c>
      <c r="C86" s="209">
        <f t="shared" si="3"/>
        <v>8.518518518518519</v>
      </c>
      <c r="D86" s="168">
        <v>2</v>
      </c>
      <c r="E86" s="168">
        <v>3</v>
      </c>
      <c r="F86" s="168">
        <v>3</v>
      </c>
      <c r="G86" s="168">
        <v>3</v>
      </c>
      <c r="H86" s="171">
        <v>2</v>
      </c>
      <c r="I86" s="171">
        <v>3</v>
      </c>
      <c r="J86" s="168">
        <v>3</v>
      </c>
      <c r="K86" s="168">
        <v>1</v>
      </c>
      <c r="L86" s="168">
        <v>3</v>
      </c>
      <c r="M86" s="210">
        <f t="shared" si="4"/>
        <v>23</v>
      </c>
    </row>
    <row r="87" spans="1:13" x14ac:dyDescent="0.2">
      <c r="A87" s="192" t="s">
        <v>667</v>
      </c>
      <c r="B87" s="192" t="s">
        <v>668</v>
      </c>
      <c r="C87" s="209">
        <f t="shared" si="3"/>
        <v>0.7407407407407407</v>
      </c>
      <c r="D87" s="168">
        <v>0</v>
      </c>
      <c r="E87" s="168">
        <v>0</v>
      </c>
      <c r="F87" s="168">
        <v>0</v>
      </c>
      <c r="G87" s="168">
        <v>0</v>
      </c>
      <c r="H87" s="171">
        <v>0</v>
      </c>
      <c r="I87" s="171">
        <v>0</v>
      </c>
      <c r="J87" s="168">
        <v>0</v>
      </c>
      <c r="K87" s="168">
        <v>0</v>
      </c>
      <c r="L87" s="168">
        <v>2</v>
      </c>
      <c r="M87" s="210">
        <f t="shared" si="4"/>
        <v>2</v>
      </c>
    </row>
    <row r="88" spans="1:13" x14ac:dyDescent="0.2">
      <c r="A88" s="192" t="s">
        <v>100</v>
      </c>
      <c r="B88" s="192" t="s">
        <v>101</v>
      </c>
      <c r="C88" s="209">
        <f t="shared" si="3"/>
        <v>4.4444444444444446</v>
      </c>
      <c r="D88" s="168">
        <v>1</v>
      </c>
      <c r="E88" s="168">
        <v>0</v>
      </c>
      <c r="F88" s="168">
        <v>1</v>
      </c>
      <c r="G88" s="168">
        <v>0</v>
      </c>
      <c r="H88" s="171">
        <v>2</v>
      </c>
      <c r="I88" s="171">
        <v>3</v>
      </c>
      <c r="J88" s="168">
        <v>1</v>
      </c>
      <c r="K88" s="168">
        <v>1</v>
      </c>
      <c r="L88" s="168">
        <v>3</v>
      </c>
      <c r="M88" s="210">
        <f t="shared" si="4"/>
        <v>12</v>
      </c>
    </row>
    <row r="89" spans="1:13" x14ac:dyDescent="0.2">
      <c r="A89" s="192" t="s">
        <v>100</v>
      </c>
      <c r="B89" s="192" t="s">
        <v>101</v>
      </c>
      <c r="C89" s="209">
        <f t="shared" si="3"/>
        <v>4.4444444444444446</v>
      </c>
      <c r="D89" s="168">
        <v>1</v>
      </c>
      <c r="E89" s="168">
        <v>0</v>
      </c>
      <c r="F89" s="168">
        <v>1</v>
      </c>
      <c r="G89" s="168">
        <v>0</v>
      </c>
      <c r="H89" s="171">
        <v>2</v>
      </c>
      <c r="I89" s="171">
        <v>3</v>
      </c>
      <c r="J89" s="168">
        <v>1</v>
      </c>
      <c r="K89" s="168">
        <v>1</v>
      </c>
      <c r="L89" s="168">
        <v>3</v>
      </c>
      <c r="M89" s="210">
        <f t="shared" si="4"/>
        <v>12</v>
      </c>
    </row>
    <row r="90" spans="1:13" x14ac:dyDescent="0.2">
      <c r="A90" s="192" t="s">
        <v>100</v>
      </c>
      <c r="B90" s="192" t="s">
        <v>101</v>
      </c>
      <c r="C90" s="209">
        <f t="shared" si="3"/>
        <v>4.4444444444444446</v>
      </c>
      <c r="D90" s="168">
        <v>1</v>
      </c>
      <c r="E90" s="168">
        <v>0</v>
      </c>
      <c r="F90" s="168">
        <v>1</v>
      </c>
      <c r="G90" s="168">
        <v>0</v>
      </c>
      <c r="H90" s="171">
        <v>2</v>
      </c>
      <c r="I90" s="171">
        <v>3</v>
      </c>
      <c r="J90" s="168">
        <v>1</v>
      </c>
      <c r="K90" s="168">
        <v>1</v>
      </c>
      <c r="L90" s="168">
        <v>3</v>
      </c>
      <c r="M90" s="210">
        <f t="shared" si="4"/>
        <v>12</v>
      </c>
    </row>
    <row r="91" spans="1:13" x14ac:dyDescent="0.2">
      <c r="A91" s="192" t="s">
        <v>345</v>
      </c>
      <c r="B91" s="192" t="s">
        <v>346</v>
      </c>
      <c r="C91" s="209">
        <f t="shared" si="3"/>
        <v>0.7407407407407407</v>
      </c>
      <c r="D91" s="168">
        <v>0</v>
      </c>
      <c r="E91" s="168">
        <v>0</v>
      </c>
      <c r="F91" s="168">
        <v>0</v>
      </c>
      <c r="G91" s="168">
        <v>0</v>
      </c>
      <c r="H91" s="171">
        <v>0</v>
      </c>
      <c r="I91" s="171">
        <v>0</v>
      </c>
      <c r="J91" s="168">
        <v>0</v>
      </c>
      <c r="K91" s="168">
        <v>2</v>
      </c>
      <c r="L91" s="168">
        <v>0</v>
      </c>
      <c r="M91" s="210">
        <f t="shared" si="4"/>
        <v>2</v>
      </c>
    </row>
    <row r="92" spans="1:13" x14ac:dyDescent="0.2">
      <c r="A92" s="192" t="s">
        <v>345</v>
      </c>
      <c r="B92" s="192" t="s">
        <v>346</v>
      </c>
      <c r="C92" s="209">
        <f t="shared" si="3"/>
        <v>1.1111111111111112</v>
      </c>
      <c r="D92" s="168">
        <v>0</v>
      </c>
      <c r="E92" s="168">
        <v>0</v>
      </c>
      <c r="F92" s="168">
        <v>0</v>
      </c>
      <c r="G92" s="168">
        <v>0</v>
      </c>
      <c r="H92" s="171">
        <v>0</v>
      </c>
      <c r="I92" s="171">
        <v>0</v>
      </c>
      <c r="J92" s="168">
        <v>0</v>
      </c>
      <c r="K92" s="168">
        <v>2</v>
      </c>
      <c r="L92" s="168">
        <v>1</v>
      </c>
      <c r="M92" s="210">
        <f t="shared" si="4"/>
        <v>3</v>
      </c>
    </row>
    <row r="93" spans="1:13" x14ac:dyDescent="0.2">
      <c r="A93" s="192" t="s">
        <v>106</v>
      </c>
      <c r="B93" s="192" t="s">
        <v>107</v>
      </c>
      <c r="C93" s="209">
        <f t="shared" si="3"/>
        <v>2.2222222222222223</v>
      </c>
      <c r="D93" s="168">
        <v>2</v>
      </c>
      <c r="E93" s="168">
        <v>0</v>
      </c>
      <c r="F93" s="168">
        <v>0</v>
      </c>
      <c r="G93" s="168">
        <v>0</v>
      </c>
      <c r="H93" s="171">
        <v>0</v>
      </c>
      <c r="I93" s="171">
        <v>2</v>
      </c>
      <c r="J93" s="168">
        <v>0</v>
      </c>
      <c r="K93" s="168">
        <v>0</v>
      </c>
      <c r="L93" s="168">
        <v>2</v>
      </c>
      <c r="M93" s="210">
        <f t="shared" si="4"/>
        <v>6</v>
      </c>
    </row>
    <row r="94" spans="1:13" x14ac:dyDescent="0.2">
      <c r="A94" s="192" t="s">
        <v>106</v>
      </c>
      <c r="B94" s="192" t="s">
        <v>107</v>
      </c>
      <c r="C94" s="209">
        <f t="shared" si="3"/>
        <v>2.2222222222222223</v>
      </c>
      <c r="D94" s="168">
        <v>2</v>
      </c>
      <c r="E94" s="168">
        <v>0</v>
      </c>
      <c r="F94" s="168">
        <v>0</v>
      </c>
      <c r="G94" s="168">
        <v>0</v>
      </c>
      <c r="H94" s="171">
        <v>0</v>
      </c>
      <c r="I94" s="171">
        <v>2</v>
      </c>
      <c r="J94" s="168">
        <v>0</v>
      </c>
      <c r="K94" s="168">
        <v>0</v>
      </c>
      <c r="L94" s="168">
        <v>2</v>
      </c>
      <c r="M94" s="210">
        <f t="shared" si="4"/>
        <v>6</v>
      </c>
    </row>
    <row r="95" spans="1:13" x14ac:dyDescent="0.2">
      <c r="A95" s="192" t="s">
        <v>353</v>
      </c>
      <c r="B95" s="192" t="s">
        <v>354</v>
      </c>
      <c r="C95" s="209">
        <f t="shared" si="3"/>
        <v>2.2222222222222223</v>
      </c>
      <c r="D95" s="168">
        <v>1</v>
      </c>
      <c r="E95" s="168">
        <v>1</v>
      </c>
      <c r="F95" s="168">
        <v>0</v>
      </c>
      <c r="G95" s="168">
        <v>0</v>
      </c>
      <c r="H95" s="171">
        <v>2</v>
      </c>
      <c r="I95" s="171">
        <v>2</v>
      </c>
      <c r="J95" s="168">
        <v>0</v>
      </c>
      <c r="K95" s="168">
        <v>0</v>
      </c>
      <c r="L95" s="168">
        <v>0</v>
      </c>
      <c r="M95" s="210">
        <f t="shared" si="4"/>
        <v>6</v>
      </c>
    </row>
    <row r="96" spans="1:13" x14ac:dyDescent="0.2">
      <c r="A96" s="192" t="s">
        <v>357</v>
      </c>
      <c r="B96" s="192" t="s">
        <v>358</v>
      </c>
      <c r="C96" s="209">
        <f t="shared" si="3"/>
        <v>1.8518518518518516</v>
      </c>
      <c r="D96" s="168">
        <v>1</v>
      </c>
      <c r="E96" s="168">
        <v>1</v>
      </c>
      <c r="F96" s="168">
        <v>1</v>
      </c>
      <c r="G96" s="168">
        <v>0</v>
      </c>
      <c r="H96" s="171">
        <v>0</v>
      </c>
      <c r="I96" s="171">
        <v>0</v>
      </c>
      <c r="J96" s="168">
        <v>0</v>
      </c>
      <c r="K96" s="168">
        <v>0</v>
      </c>
      <c r="L96" s="168">
        <v>2</v>
      </c>
      <c r="M96" s="210">
        <f t="shared" si="4"/>
        <v>5</v>
      </c>
    </row>
    <row r="97" spans="1:13" x14ac:dyDescent="0.2">
      <c r="A97" s="192" t="s">
        <v>90</v>
      </c>
      <c r="B97" s="192" t="s">
        <v>91</v>
      </c>
      <c r="C97" s="209">
        <f t="shared" si="3"/>
        <v>4.8148148148148149</v>
      </c>
      <c r="D97" s="168">
        <v>1</v>
      </c>
      <c r="E97" s="168">
        <v>3</v>
      </c>
      <c r="F97" s="168">
        <v>1</v>
      </c>
      <c r="G97" s="168">
        <v>0</v>
      </c>
      <c r="H97" s="171">
        <v>0</v>
      </c>
      <c r="I97" s="171">
        <v>2</v>
      </c>
      <c r="J97" s="168">
        <v>2</v>
      </c>
      <c r="K97" s="168">
        <v>1</v>
      </c>
      <c r="L97" s="168">
        <v>3</v>
      </c>
      <c r="M97" s="210">
        <f t="shared" si="4"/>
        <v>13</v>
      </c>
    </row>
    <row r="98" spans="1:13" x14ac:dyDescent="0.2">
      <c r="A98" s="192" t="s">
        <v>90</v>
      </c>
      <c r="B98" s="192" t="s">
        <v>91</v>
      </c>
      <c r="C98" s="209">
        <f t="shared" si="3"/>
        <v>4.8148148148148149</v>
      </c>
      <c r="D98" s="168">
        <v>1</v>
      </c>
      <c r="E98" s="168">
        <v>3</v>
      </c>
      <c r="F98" s="168">
        <v>1</v>
      </c>
      <c r="G98" s="168">
        <v>0</v>
      </c>
      <c r="H98" s="171">
        <v>0</v>
      </c>
      <c r="I98" s="171">
        <v>2</v>
      </c>
      <c r="J98" s="168">
        <v>2</v>
      </c>
      <c r="K98" s="168">
        <v>1</v>
      </c>
      <c r="L98" s="168">
        <v>3</v>
      </c>
      <c r="M98" s="210">
        <f t="shared" si="4"/>
        <v>13</v>
      </c>
    </row>
    <row r="99" spans="1:13" x14ac:dyDescent="0.2">
      <c r="A99" s="192" t="s">
        <v>90</v>
      </c>
      <c r="B99" s="192" t="s">
        <v>91</v>
      </c>
      <c r="C99" s="209">
        <f t="shared" si="3"/>
        <v>4.8148148148148149</v>
      </c>
      <c r="D99" s="168">
        <v>1</v>
      </c>
      <c r="E99" s="168">
        <v>3</v>
      </c>
      <c r="F99" s="168">
        <v>1</v>
      </c>
      <c r="G99" s="168">
        <v>0</v>
      </c>
      <c r="H99" s="171">
        <v>0</v>
      </c>
      <c r="I99" s="171">
        <v>2</v>
      </c>
      <c r="J99" s="168">
        <v>2</v>
      </c>
      <c r="K99" s="168">
        <v>1</v>
      </c>
      <c r="L99" s="168">
        <v>3</v>
      </c>
      <c r="M99" s="210">
        <f t="shared" si="4"/>
        <v>13</v>
      </c>
    </row>
    <row r="100" spans="1:13" x14ac:dyDescent="0.2">
      <c r="A100" s="192" t="s">
        <v>90</v>
      </c>
      <c r="B100" s="192" t="s">
        <v>91</v>
      </c>
      <c r="C100" s="209">
        <f t="shared" si="3"/>
        <v>3.7037037037037033</v>
      </c>
      <c r="D100" s="168">
        <v>1</v>
      </c>
      <c r="E100" s="168">
        <v>2</v>
      </c>
      <c r="F100" s="168">
        <v>1</v>
      </c>
      <c r="G100" s="168">
        <v>0</v>
      </c>
      <c r="H100" s="171">
        <v>0</v>
      </c>
      <c r="I100" s="171">
        <v>2</v>
      </c>
      <c r="J100" s="168">
        <v>0</v>
      </c>
      <c r="K100" s="168">
        <v>1</v>
      </c>
      <c r="L100" s="168">
        <v>3</v>
      </c>
      <c r="M100" s="210">
        <f t="shared" si="4"/>
        <v>10</v>
      </c>
    </row>
    <row r="101" spans="1:13" x14ac:dyDescent="0.2">
      <c r="A101" s="192" t="s">
        <v>79</v>
      </c>
      <c r="B101" s="192" t="s">
        <v>80</v>
      </c>
      <c r="C101" s="209">
        <f t="shared" ref="C101:C132" si="5">((M101-$M$3)/($M$2-$M$3))*10</f>
        <v>7.4074074074074066</v>
      </c>
      <c r="D101" s="168">
        <v>1</v>
      </c>
      <c r="E101" s="168">
        <v>3</v>
      </c>
      <c r="F101" s="168">
        <v>2</v>
      </c>
      <c r="G101" s="168">
        <v>3</v>
      </c>
      <c r="H101" s="171">
        <v>2</v>
      </c>
      <c r="I101" s="171">
        <v>3</v>
      </c>
      <c r="J101" s="168">
        <v>3</v>
      </c>
      <c r="K101" s="168">
        <v>0</v>
      </c>
      <c r="L101" s="168">
        <v>3</v>
      </c>
      <c r="M101" s="210">
        <f t="shared" si="4"/>
        <v>20</v>
      </c>
    </row>
    <row r="102" spans="1:13" x14ac:dyDescent="0.2">
      <c r="A102" s="192" t="s">
        <v>79</v>
      </c>
      <c r="B102" s="192" t="s">
        <v>80</v>
      </c>
      <c r="C102" s="209">
        <f t="shared" si="5"/>
        <v>3.7037037037037033</v>
      </c>
      <c r="D102" s="168">
        <v>1</v>
      </c>
      <c r="E102" s="168">
        <v>2</v>
      </c>
      <c r="F102" s="168">
        <v>0</v>
      </c>
      <c r="G102" s="168">
        <v>3</v>
      </c>
      <c r="H102" s="171">
        <v>0</v>
      </c>
      <c r="I102" s="171">
        <v>0</v>
      </c>
      <c r="J102" s="168">
        <v>2</v>
      </c>
      <c r="K102" s="168">
        <v>0</v>
      </c>
      <c r="L102" s="168">
        <v>2</v>
      </c>
      <c r="M102" s="210">
        <f t="shared" si="4"/>
        <v>10</v>
      </c>
    </row>
    <row r="103" spans="1:13" x14ac:dyDescent="0.2">
      <c r="A103" s="192" t="s">
        <v>79</v>
      </c>
      <c r="B103" s="192" t="s">
        <v>80</v>
      </c>
      <c r="C103" s="209">
        <f t="shared" si="5"/>
        <v>7.4074074074074066</v>
      </c>
      <c r="D103" s="168">
        <v>1</v>
      </c>
      <c r="E103" s="168">
        <v>3</v>
      </c>
      <c r="F103" s="168">
        <v>2</v>
      </c>
      <c r="G103" s="168">
        <v>3</v>
      </c>
      <c r="H103" s="171">
        <v>2</v>
      </c>
      <c r="I103" s="171">
        <v>3</v>
      </c>
      <c r="J103" s="168">
        <v>3</v>
      </c>
      <c r="K103" s="168">
        <v>0</v>
      </c>
      <c r="L103" s="168">
        <v>3</v>
      </c>
      <c r="M103" s="210">
        <f t="shared" si="4"/>
        <v>20</v>
      </c>
    </row>
    <row r="104" spans="1:13" x14ac:dyDescent="0.2">
      <c r="A104" s="192" t="s">
        <v>79</v>
      </c>
      <c r="B104" s="192" t="s">
        <v>80</v>
      </c>
      <c r="C104" s="209">
        <f t="shared" si="5"/>
        <v>4.4444444444444446</v>
      </c>
      <c r="D104" s="168">
        <v>1</v>
      </c>
      <c r="E104" s="168">
        <v>2</v>
      </c>
      <c r="F104" s="168">
        <v>0</v>
      </c>
      <c r="G104" s="168">
        <v>3</v>
      </c>
      <c r="H104" s="171">
        <v>0</v>
      </c>
      <c r="I104" s="171">
        <v>2</v>
      </c>
      <c r="J104" s="168">
        <v>2</v>
      </c>
      <c r="K104" s="168">
        <v>0</v>
      </c>
      <c r="L104" s="168">
        <v>2</v>
      </c>
      <c r="M104" s="210">
        <f t="shared" si="4"/>
        <v>12</v>
      </c>
    </row>
    <row r="105" spans="1:13" x14ac:dyDescent="0.2">
      <c r="A105" s="192" t="s">
        <v>79</v>
      </c>
      <c r="B105" s="192" t="s">
        <v>80</v>
      </c>
      <c r="C105" s="209">
        <f t="shared" si="5"/>
        <v>3.7037037037037033</v>
      </c>
      <c r="D105" s="168">
        <v>1</v>
      </c>
      <c r="E105" s="168">
        <v>2</v>
      </c>
      <c r="F105" s="168">
        <v>2</v>
      </c>
      <c r="G105" s="168">
        <v>3</v>
      </c>
      <c r="H105" s="171">
        <v>0</v>
      </c>
      <c r="I105" s="171">
        <v>1</v>
      </c>
      <c r="J105" s="168">
        <v>0</v>
      </c>
      <c r="K105" s="168">
        <v>0</v>
      </c>
      <c r="L105" s="168">
        <v>1</v>
      </c>
      <c r="M105" s="210">
        <f t="shared" si="4"/>
        <v>10</v>
      </c>
    </row>
    <row r="106" spans="1:13" x14ac:dyDescent="0.2">
      <c r="A106" s="192" t="s">
        <v>377</v>
      </c>
      <c r="B106" s="192" t="s">
        <v>378</v>
      </c>
      <c r="C106" s="209">
        <f t="shared" si="5"/>
        <v>3.333333333333333</v>
      </c>
      <c r="D106" s="168">
        <v>2</v>
      </c>
      <c r="E106" s="168">
        <v>0</v>
      </c>
      <c r="F106" s="168">
        <v>3</v>
      </c>
      <c r="G106" s="168">
        <v>0</v>
      </c>
      <c r="H106" s="171">
        <v>3</v>
      </c>
      <c r="I106" s="171">
        <v>0</v>
      </c>
      <c r="J106" s="168">
        <v>1</v>
      </c>
      <c r="K106" s="168">
        <v>0</v>
      </c>
      <c r="L106" s="168">
        <v>0</v>
      </c>
      <c r="M106" s="210">
        <f t="shared" si="4"/>
        <v>9</v>
      </c>
    </row>
    <row r="107" spans="1:13" x14ac:dyDescent="0.2">
      <c r="A107" s="192" t="s">
        <v>671</v>
      </c>
      <c r="B107" s="192" t="s">
        <v>672</v>
      </c>
      <c r="C107" s="209">
        <f t="shared" si="5"/>
        <v>0.7407407407407407</v>
      </c>
      <c r="D107" s="168">
        <v>1</v>
      </c>
      <c r="E107" s="168">
        <v>0</v>
      </c>
      <c r="F107" s="168">
        <v>0</v>
      </c>
      <c r="G107" s="168">
        <v>0</v>
      </c>
      <c r="H107" s="171">
        <v>0</v>
      </c>
      <c r="I107" s="171">
        <v>0</v>
      </c>
      <c r="J107" s="168">
        <v>0</v>
      </c>
      <c r="K107" s="168">
        <v>0</v>
      </c>
      <c r="L107" s="168">
        <v>1</v>
      </c>
      <c r="M107" s="210">
        <f t="shared" si="4"/>
        <v>2</v>
      </c>
    </row>
    <row r="108" spans="1:13" x14ac:dyDescent="0.2">
      <c r="A108" s="192" t="s">
        <v>73</v>
      </c>
      <c r="B108" s="192" t="s">
        <v>74</v>
      </c>
      <c r="C108" s="209">
        <f t="shared" si="5"/>
        <v>5.9259259259259256</v>
      </c>
      <c r="D108" s="168">
        <v>2</v>
      </c>
      <c r="E108" s="168">
        <v>1</v>
      </c>
      <c r="F108" s="168">
        <v>2</v>
      </c>
      <c r="G108" s="168">
        <v>0</v>
      </c>
      <c r="H108" s="171">
        <v>2</v>
      </c>
      <c r="I108" s="171">
        <v>3</v>
      </c>
      <c r="J108" s="168">
        <v>2</v>
      </c>
      <c r="K108" s="168">
        <v>1</v>
      </c>
      <c r="L108" s="168">
        <v>3</v>
      </c>
      <c r="M108" s="210">
        <f t="shared" si="4"/>
        <v>16</v>
      </c>
    </row>
    <row r="109" spans="1:13" x14ac:dyDescent="0.2">
      <c r="A109" s="192" t="s">
        <v>73</v>
      </c>
      <c r="B109" s="192" t="s">
        <v>74</v>
      </c>
      <c r="C109" s="209">
        <f t="shared" si="5"/>
        <v>5.5555555555555554</v>
      </c>
      <c r="D109" s="168">
        <v>2</v>
      </c>
      <c r="E109" s="168">
        <v>1</v>
      </c>
      <c r="F109" s="168">
        <v>2</v>
      </c>
      <c r="G109" s="168">
        <v>0</v>
      </c>
      <c r="H109" s="171">
        <v>2</v>
      </c>
      <c r="I109" s="171">
        <v>3</v>
      </c>
      <c r="J109" s="168">
        <v>1</v>
      </c>
      <c r="K109" s="168">
        <v>1</v>
      </c>
      <c r="L109" s="168">
        <v>3</v>
      </c>
      <c r="M109" s="210">
        <f t="shared" si="4"/>
        <v>15</v>
      </c>
    </row>
    <row r="110" spans="1:13" x14ac:dyDescent="0.2">
      <c r="A110" s="192" t="s">
        <v>73</v>
      </c>
      <c r="B110" s="192" t="s">
        <v>74</v>
      </c>
      <c r="C110" s="209">
        <f t="shared" si="5"/>
        <v>5.9259259259259256</v>
      </c>
      <c r="D110" s="168">
        <v>2</v>
      </c>
      <c r="E110" s="168">
        <v>1</v>
      </c>
      <c r="F110" s="168">
        <v>2</v>
      </c>
      <c r="G110" s="168">
        <v>0</v>
      </c>
      <c r="H110" s="171">
        <v>2</v>
      </c>
      <c r="I110" s="171">
        <v>3</v>
      </c>
      <c r="J110" s="168">
        <v>2</v>
      </c>
      <c r="K110" s="168">
        <v>1</v>
      </c>
      <c r="L110" s="168">
        <v>3</v>
      </c>
      <c r="M110" s="210">
        <f t="shared" si="4"/>
        <v>16</v>
      </c>
    </row>
    <row r="111" spans="1:13" x14ac:dyDescent="0.2">
      <c r="A111" s="192" t="s">
        <v>386</v>
      </c>
      <c r="B111" s="192" t="s">
        <v>387</v>
      </c>
      <c r="C111" s="209">
        <f t="shared" si="5"/>
        <v>2.5925925925925926</v>
      </c>
      <c r="D111" s="168">
        <v>0</v>
      </c>
      <c r="E111" s="168">
        <v>2</v>
      </c>
      <c r="F111" s="168">
        <v>0</v>
      </c>
      <c r="G111" s="168">
        <v>0</v>
      </c>
      <c r="H111" s="171">
        <v>0</v>
      </c>
      <c r="I111" s="171">
        <v>2</v>
      </c>
      <c r="J111" s="168">
        <v>2</v>
      </c>
      <c r="K111" s="168">
        <v>0</v>
      </c>
      <c r="L111" s="168">
        <v>1</v>
      </c>
      <c r="M111" s="210">
        <f t="shared" si="4"/>
        <v>7</v>
      </c>
    </row>
    <row r="112" spans="1:13" x14ac:dyDescent="0.2">
      <c r="A112" s="192" t="s">
        <v>390</v>
      </c>
      <c r="B112" s="192" t="s">
        <v>391</v>
      </c>
      <c r="C112" s="209">
        <f t="shared" si="5"/>
        <v>4.0740740740740735</v>
      </c>
      <c r="D112" s="168">
        <v>0</v>
      </c>
      <c r="E112" s="168">
        <v>0</v>
      </c>
      <c r="F112" s="168">
        <v>1</v>
      </c>
      <c r="G112" s="168">
        <v>0</v>
      </c>
      <c r="H112" s="171">
        <v>2</v>
      </c>
      <c r="I112" s="171">
        <v>3</v>
      </c>
      <c r="J112" s="168">
        <v>1</v>
      </c>
      <c r="K112" s="168">
        <v>1</v>
      </c>
      <c r="L112" s="168">
        <v>3</v>
      </c>
      <c r="M112" s="210">
        <f t="shared" si="4"/>
        <v>11</v>
      </c>
    </row>
    <row r="113" spans="1:13" x14ac:dyDescent="0.2">
      <c r="A113" s="192" t="s">
        <v>392</v>
      </c>
      <c r="B113" s="192" t="s">
        <v>393</v>
      </c>
      <c r="C113" s="209">
        <f t="shared" si="5"/>
        <v>0.7407407407407407</v>
      </c>
      <c r="D113" s="168">
        <v>1</v>
      </c>
      <c r="E113" s="168">
        <v>0</v>
      </c>
      <c r="F113" s="168">
        <v>0</v>
      </c>
      <c r="G113" s="168">
        <v>0</v>
      </c>
      <c r="H113" s="171">
        <v>0</v>
      </c>
      <c r="I113" s="171">
        <v>0</v>
      </c>
      <c r="J113" s="168">
        <v>0</v>
      </c>
      <c r="K113" s="168">
        <v>1</v>
      </c>
      <c r="L113" s="168">
        <v>0</v>
      </c>
      <c r="M113" s="210">
        <f t="shared" si="4"/>
        <v>2</v>
      </c>
    </row>
    <row r="114" spans="1:13" x14ac:dyDescent="0.2">
      <c r="A114" s="192" t="s">
        <v>578</v>
      </c>
      <c r="B114" s="192" t="s">
        <v>579</v>
      </c>
      <c r="C114" s="209">
        <f t="shared" si="5"/>
        <v>1.4814814814814814</v>
      </c>
      <c r="D114" s="168">
        <v>0</v>
      </c>
      <c r="E114" s="168">
        <v>1</v>
      </c>
      <c r="F114" s="168">
        <v>0</v>
      </c>
      <c r="G114" s="168">
        <v>0</v>
      </c>
      <c r="H114" s="171">
        <v>0</v>
      </c>
      <c r="I114" s="171">
        <v>0</v>
      </c>
      <c r="J114" s="168">
        <v>1</v>
      </c>
      <c r="K114" s="168">
        <v>0</v>
      </c>
      <c r="L114" s="168">
        <v>2</v>
      </c>
      <c r="M114" s="210">
        <f t="shared" si="4"/>
        <v>4</v>
      </c>
    </row>
    <row r="115" spans="1:13" x14ac:dyDescent="0.2">
      <c r="A115" s="192" t="s">
        <v>397</v>
      </c>
      <c r="B115" s="192" t="s">
        <v>398</v>
      </c>
      <c r="C115" s="209">
        <f t="shared" si="5"/>
        <v>0.37037037037037035</v>
      </c>
      <c r="D115" s="168">
        <v>0</v>
      </c>
      <c r="E115" s="168">
        <v>0</v>
      </c>
      <c r="F115" s="168">
        <v>0</v>
      </c>
      <c r="G115" s="168">
        <v>0</v>
      </c>
      <c r="H115" s="171">
        <v>0</v>
      </c>
      <c r="I115" s="171">
        <v>1</v>
      </c>
      <c r="J115" s="168">
        <v>0</v>
      </c>
      <c r="K115" s="168">
        <v>0</v>
      </c>
      <c r="L115" s="168">
        <v>0</v>
      </c>
      <c r="M115" s="210">
        <f t="shared" si="4"/>
        <v>1</v>
      </c>
    </row>
    <row r="116" spans="1:13" x14ac:dyDescent="0.2">
      <c r="A116" s="192" t="s">
        <v>401</v>
      </c>
      <c r="B116" s="192" t="s">
        <v>402</v>
      </c>
      <c r="C116" s="209">
        <f t="shared" si="5"/>
        <v>5.5555555555555554</v>
      </c>
      <c r="D116" s="168">
        <v>1</v>
      </c>
      <c r="E116" s="168">
        <v>2</v>
      </c>
      <c r="F116" s="168">
        <v>2</v>
      </c>
      <c r="G116" s="168">
        <v>0</v>
      </c>
      <c r="H116" s="171">
        <v>3</v>
      </c>
      <c r="I116" s="171">
        <v>3</v>
      </c>
      <c r="J116" s="168">
        <v>1</v>
      </c>
      <c r="K116" s="168">
        <v>0</v>
      </c>
      <c r="L116" s="168">
        <v>3</v>
      </c>
      <c r="M116" s="210">
        <f t="shared" si="4"/>
        <v>15</v>
      </c>
    </row>
    <row r="117" spans="1:13" x14ac:dyDescent="0.2">
      <c r="A117" s="192" t="s">
        <v>77</v>
      </c>
      <c r="B117" s="192" t="s">
        <v>78</v>
      </c>
      <c r="C117" s="209">
        <f t="shared" si="5"/>
        <v>8.518518518518519</v>
      </c>
      <c r="D117" s="168">
        <v>1</v>
      </c>
      <c r="E117" s="168">
        <v>3</v>
      </c>
      <c r="F117" s="168">
        <v>2</v>
      </c>
      <c r="G117" s="168">
        <v>3</v>
      </c>
      <c r="H117" s="171">
        <v>3</v>
      </c>
      <c r="I117" s="171">
        <v>3</v>
      </c>
      <c r="J117" s="168">
        <v>3</v>
      </c>
      <c r="K117" s="168">
        <v>2</v>
      </c>
      <c r="L117" s="168">
        <v>3</v>
      </c>
      <c r="M117" s="210">
        <f t="shared" si="4"/>
        <v>23</v>
      </c>
    </row>
    <row r="118" spans="1:13" x14ac:dyDescent="0.2">
      <c r="A118" s="192" t="s">
        <v>77</v>
      </c>
      <c r="B118" s="192" t="s">
        <v>78</v>
      </c>
      <c r="C118" s="209">
        <f t="shared" si="5"/>
        <v>6.6666666666666661</v>
      </c>
      <c r="D118" s="168">
        <v>1</v>
      </c>
      <c r="E118" s="168">
        <v>3</v>
      </c>
      <c r="F118" s="168">
        <v>2</v>
      </c>
      <c r="G118" s="168">
        <v>3</v>
      </c>
      <c r="H118" s="171">
        <v>2</v>
      </c>
      <c r="I118" s="171">
        <v>3</v>
      </c>
      <c r="J118" s="168">
        <v>2</v>
      </c>
      <c r="K118" s="168">
        <v>2</v>
      </c>
      <c r="L118" s="168">
        <v>0</v>
      </c>
      <c r="M118" s="210">
        <f t="shared" si="4"/>
        <v>18</v>
      </c>
    </row>
    <row r="119" spans="1:13" x14ac:dyDescent="0.2">
      <c r="A119" s="192" t="s">
        <v>77</v>
      </c>
      <c r="B119" s="192" t="s">
        <v>78</v>
      </c>
      <c r="C119" s="209">
        <f t="shared" si="5"/>
        <v>8.518518518518519</v>
      </c>
      <c r="D119" s="168">
        <v>1</v>
      </c>
      <c r="E119" s="168">
        <v>3</v>
      </c>
      <c r="F119" s="168">
        <v>2</v>
      </c>
      <c r="G119" s="168">
        <v>3</v>
      </c>
      <c r="H119" s="171">
        <v>3</v>
      </c>
      <c r="I119" s="171">
        <v>3</v>
      </c>
      <c r="J119" s="168">
        <v>3</v>
      </c>
      <c r="K119" s="168">
        <v>2</v>
      </c>
      <c r="L119" s="168">
        <v>3</v>
      </c>
      <c r="M119" s="210">
        <f t="shared" si="4"/>
        <v>23</v>
      </c>
    </row>
    <row r="120" spans="1:13" x14ac:dyDescent="0.2">
      <c r="A120" s="192" t="s">
        <v>406</v>
      </c>
      <c r="B120" s="192" t="s">
        <v>407</v>
      </c>
      <c r="C120" s="209">
        <f t="shared" si="5"/>
        <v>5.9259259259259256</v>
      </c>
      <c r="D120" s="168">
        <v>1</v>
      </c>
      <c r="E120" s="168">
        <v>3</v>
      </c>
      <c r="F120" s="168">
        <v>1</v>
      </c>
      <c r="G120" s="168">
        <v>0</v>
      </c>
      <c r="H120" s="171">
        <v>0</v>
      </c>
      <c r="I120" s="171">
        <v>2</v>
      </c>
      <c r="J120" s="168">
        <v>3</v>
      </c>
      <c r="K120" s="168">
        <v>3</v>
      </c>
      <c r="L120" s="168">
        <v>3</v>
      </c>
      <c r="M120" s="210">
        <f t="shared" si="4"/>
        <v>16</v>
      </c>
    </row>
    <row r="121" spans="1:13" x14ac:dyDescent="0.2">
      <c r="A121" s="192" t="s">
        <v>410</v>
      </c>
      <c r="B121" s="192" t="s">
        <v>411</v>
      </c>
      <c r="C121" s="209">
        <f t="shared" si="5"/>
        <v>7.0370370370370372</v>
      </c>
      <c r="D121" s="168">
        <v>2</v>
      </c>
      <c r="E121" s="168">
        <v>3</v>
      </c>
      <c r="F121" s="168">
        <v>2</v>
      </c>
      <c r="G121" s="168">
        <v>0</v>
      </c>
      <c r="H121" s="171">
        <v>2</v>
      </c>
      <c r="I121" s="171">
        <v>3</v>
      </c>
      <c r="J121" s="168">
        <v>2</v>
      </c>
      <c r="K121" s="168">
        <v>2</v>
      </c>
      <c r="L121" s="168">
        <v>3</v>
      </c>
      <c r="M121" s="210">
        <f t="shared" si="4"/>
        <v>19</v>
      </c>
    </row>
    <row r="122" spans="1:13" x14ac:dyDescent="0.2">
      <c r="A122" s="192" t="s">
        <v>580</v>
      </c>
      <c r="B122" s="192" t="s">
        <v>414</v>
      </c>
      <c r="C122" s="209">
        <f t="shared" si="5"/>
        <v>7.0370370370370372</v>
      </c>
      <c r="D122" s="168">
        <v>1</v>
      </c>
      <c r="E122" s="168">
        <v>3</v>
      </c>
      <c r="F122" s="168">
        <v>3</v>
      </c>
      <c r="G122" s="168">
        <v>0</v>
      </c>
      <c r="H122" s="171">
        <v>2</v>
      </c>
      <c r="I122" s="171">
        <v>3</v>
      </c>
      <c r="J122" s="168">
        <v>3</v>
      </c>
      <c r="K122" s="168">
        <v>3</v>
      </c>
      <c r="L122" s="168">
        <v>1</v>
      </c>
      <c r="M122" s="210">
        <f t="shared" si="4"/>
        <v>19</v>
      </c>
    </row>
    <row r="123" spans="1:13" x14ac:dyDescent="0.2">
      <c r="A123" s="192" t="s">
        <v>581</v>
      </c>
      <c r="B123" s="192" t="s">
        <v>416</v>
      </c>
      <c r="C123" s="209">
        <f t="shared" si="5"/>
        <v>4.0740740740740735</v>
      </c>
      <c r="D123" s="168">
        <v>1</v>
      </c>
      <c r="E123" s="168">
        <v>1</v>
      </c>
      <c r="F123" s="168">
        <v>1</v>
      </c>
      <c r="G123" s="168">
        <v>0</v>
      </c>
      <c r="H123" s="171">
        <v>2</v>
      </c>
      <c r="I123" s="171">
        <v>2</v>
      </c>
      <c r="J123" s="168">
        <v>0</v>
      </c>
      <c r="K123" s="168">
        <v>3</v>
      </c>
      <c r="L123" s="168">
        <v>1</v>
      </c>
      <c r="M123" s="210">
        <f t="shared" si="4"/>
        <v>11</v>
      </c>
    </row>
    <row r="124" spans="1:13" x14ac:dyDescent="0.2">
      <c r="A124" s="192" t="s">
        <v>419</v>
      </c>
      <c r="B124" s="192" t="s">
        <v>420</v>
      </c>
      <c r="C124" s="209">
        <f t="shared" si="5"/>
        <v>3.333333333333333</v>
      </c>
      <c r="D124" s="168">
        <v>1</v>
      </c>
      <c r="E124" s="168">
        <v>0</v>
      </c>
      <c r="F124" s="168">
        <v>1</v>
      </c>
      <c r="G124" s="168">
        <v>0</v>
      </c>
      <c r="H124" s="171">
        <v>2</v>
      </c>
      <c r="I124" s="171">
        <v>3</v>
      </c>
      <c r="J124" s="168">
        <v>0</v>
      </c>
      <c r="K124" s="168">
        <v>1</v>
      </c>
      <c r="L124" s="168">
        <v>1</v>
      </c>
      <c r="M124" s="210">
        <f t="shared" si="4"/>
        <v>9</v>
      </c>
    </row>
    <row r="125" spans="1:13" x14ac:dyDescent="0.2">
      <c r="A125" s="192" t="s">
        <v>423</v>
      </c>
      <c r="B125" s="192" t="s">
        <v>424</v>
      </c>
      <c r="C125" s="209">
        <f t="shared" si="5"/>
        <v>0.7407407407407407</v>
      </c>
      <c r="D125" s="168">
        <v>0</v>
      </c>
      <c r="E125" s="168">
        <v>0</v>
      </c>
      <c r="F125" s="168">
        <v>0</v>
      </c>
      <c r="G125" s="168">
        <v>0</v>
      </c>
      <c r="H125" s="171">
        <v>0</v>
      </c>
      <c r="I125" s="171">
        <v>0</v>
      </c>
      <c r="J125" s="168">
        <v>0</v>
      </c>
      <c r="K125" s="168">
        <v>1</v>
      </c>
      <c r="L125" s="168">
        <v>1</v>
      </c>
      <c r="M125" s="210">
        <f t="shared" si="4"/>
        <v>2</v>
      </c>
    </row>
    <row r="126" spans="1:13" x14ac:dyDescent="0.2">
      <c r="A126" s="192" t="s">
        <v>427</v>
      </c>
      <c r="B126" s="192" t="s">
        <v>428</v>
      </c>
      <c r="C126" s="209">
        <f t="shared" si="5"/>
        <v>8.518518518518519</v>
      </c>
      <c r="D126" s="168">
        <v>2</v>
      </c>
      <c r="E126" s="168">
        <v>3</v>
      </c>
      <c r="F126" s="168">
        <v>3</v>
      </c>
      <c r="G126" s="168">
        <v>2</v>
      </c>
      <c r="H126" s="171">
        <v>3</v>
      </c>
      <c r="I126" s="171">
        <v>3</v>
      </c>
      <c r="J126" s="168">
        <v>3</v>
      </c>
      <c r="K126" s="168">
        <v>1</v>
      </c>
      <c r="L126" s="168">
        <v>3</v>
      </c>
      <c r="M126" s="210">
        <f t="shared" si="4"/>
        <v>23</v>
      </c>
    </row>
    <row r="127" spans="1:13" x14ac:dyDescent="0.2">
      <c r="A127" s="192" t="s">
        <v>431</v>
      </c>
      <c r="B127" s="192" t="s">
        <v>432</v>
      </c>
      <c r="C127" s="209">
        <f t="shared" si="5"/>
        <v>5.1851851851851851</v>
      </c>
      <c r="D127" s="168">
        <v>2</v>
      </c>
      <c r="E127" s="168">
        <v>1</v>
      </c>
      <c r="F127" s="168">
        <v>1</v>
      </c>
      <c r="G127" s="168">
        <v>0</v>
      </c>
      <c r="H127" s="171">
        <v>2</v>
      </c>
      <c r="I127" s="171">
        <v>3</v>
      </c>
      <c r="J127" s="168">
        <v>1</v>
      </c>
      <c r="K127" s="168">
        <v>1</v>
      </c>
      <c r="L127" s="168">
        <v>3</v>
      </c>
      <c r="M127" s="210">
        <f t="shared" si="4"/>
        <v>14</v>
      </c>
    </row>
    <row r="128" spans="1:13" x14ac:dyDescent="0.2">
      <c r="A128" s="192" t="s">
        <v>435</v>
      </c>
      <c r="B128" s="192" t="s">
        <v>436</v>
      </c>
      <c r="C128" s="209">
        <f t="shared" si="5"/>
        <v>7.0370370370370372</v>
      </c>
      <c r="D128" s="168">
        <v>2</v>
      </c>
      <c r="E128" s="168">
        <v>3</v>
      </c>
      <c r="F128" s="168">
        <v>2</v>
      </c>
      <c r="G128" s="168">
        <v>0</v>
      </c>
      <c r="H128" s="171">
        <v>3</v>
      </c>
      <c r="I128" s="171">
        <v>2</v>
      </c>
      <c r="J128" s="168">
        <v>2</v>
      </c>
      <c r="K128" s="168">
        <v>3</v>
      </c>
      <c r="L128" s="168">
        <v>2</v>
      </c>
      <c r="M128" s="210">
        <f t="shared" si="4"/>
        <v>19</v>
      </c>
    </row>
    <row r="129" spans="1:13" x14ac:dyDescent="0.2">
      <c r="A129" s="192" t="s">
        <v>439</v>
      </c>
      <c r="B129" s="192" t="s">
        <v>440</v>
      </c>
      <c r="C129" s="209">
        <f t="shared" si="5"/>
        <v>8.518518518518519</v>
      </c>
      <c r="D129" s="168">
        <v>2</v>
      </c>
      <c r="E129" s="168">
        <v>3</v>
      </c>
      <c r="F129" s="168">
        <v>2</v>
      </c>
      <c r="G129" s="168">
        <v>3</v>
      </c>
      <c r="H129" s="171">
        <v>2</v>
      </c>
      <c r="I129" s="171">
        <v>3</v>
      </c>
      <c r="J129" s="168">
        <v>3</v>
      </c>
      <c r="K129" s="168">
        <v>2</v>
      </c>
      <c r="L129" s="168">
        <v>3</v>
      </c>
      <c r="M129" s="210">
        <f t="shared" si="4"/>
        <v>23</v>
      </c>
    </row>
    <row r="130" spans="1:13" x14ac:dyDescent="0.2">
      <c r="A130" s="192" t="s">
        <v>582</v>
      </c>
      <c r="B130" s="192" t="s">
        <v>583</v>
      </c>
      <c r="C130" s="209">
        <f t="shared" si="5"/>
        <v>7.0370370370370372</v>
      </c>
      <c r="D130" s="168">
        <v>1</v>
      </c>
      <c r="E130" s="168">
        <v>3</v>
      </c>
      <c r="F130" s="168">
        <v>3</v>
      </c>
      <c r="G130" s="168">
        <v>0</v>
      </c>
      <c r="H130" s="171">
        <v>2</v>
      </c>
      <c r="I130" s="171">
        <v>3</v>
      </c>
      <c r="J130" s="168">
        <v>3</v>
      </c>
      <c r="K130" s="168">
        <v>3</v>
      </c>
      <c r="L130" s="168">
        <v>1</v>
      </c>
      <c r="M130" s="210">
        <f t="shared" si="4"/>
        <v>19</v>
      </c>
    </row>
    <row r="131" spans="1:13" x14ac:dyDescent="0.2">
      <c r="A131" s="192" t="s">
        <v>442</v>
      </c>
      <c r="B131" s="192" t="s">
        <v>443</v>
      </c>
      <c r="C131" s="209">
        <f t="shared" si="5"/>
        <v>1.1111111111111112</v>
      </c>
      <c r="D131" s="168">
        <v>0</v>
      </c>
      <c r="E131" s="168">
        <v>0</v>
      </c>
      <c r="F131" s="168">
        <v>2</v>
      </c>
      <c r="G131" s="168">
        <v>0</v>
      </c>
      <c r="H131" s="171">
        <v>0</v>
      </c>
      <c r="I131" s="171">
        <v>1</v>
      </c>
      <c r="J131" s="168">
        <v>0</v>
      </c>
      <c r="K131" s="168">
        <v>0</v>
      </c>
      <c r="L131" s="168">
        <v>0</v>
      </c>
      <c r="M131" s="210">
        <f t="shared" si="4"/>
        <v>3</v>
      </c>
    </row>
    <row r="132" spans="1:13" x14ac:dyDescent="0.2">
      <c r="A132" s="192" t="s">
        <v>584</v>
      </c>
      <c r="B132" s="192" t="s">
        <v>585</v>
      </c>
      <c r="C132" s="209">
        <f t="shared" si="5"/>
        <v>3.7037037037037033</v>
      </c>
      <c r="D132" s="168">
        <v>1</v>
      </c>
      <c r="E132" s="168">
        <v>1</v>
      </c>
      <c r="F132" s="168">
        <v>1</v>
      </c>
      <c r="G132" s="168">
        <v>0</v>
      </c>
      <c r="H132" s="171">
        <v>3</v>
      </c>
      <c r="I132" s="171">
        <v>3</v>
      </c>
      <c r="J132" s="168">
        <v>1</v>
      </c>
      <c r="K132" s="168">
        <v>0</v>
      </c>
      <c r="L132" s="168">
        <v>0</v>
      </c>
      <c r="M132" s="210">
        <f t="shared" si="4"/>
        <v>10</v>
      </c>
    </row>
    <row r="133" spans="1:13" x14ac:dyDescent="0.2">
      <c r="A133" s="192" t="s">
        <v>446</v>
      </c>
      <c r="B133" s="192" t="s">
        <v>447</v>
      </c>
      <c r="C133" s="209">
        <f t="shared" ref="C133:C149" si="6">((M133-$M$3)/($M$2-$M$3))*10</f>
        <v>1.4814814814814814</v>
      </c>
      <c r="D133" s="168">
        <v>1</v>
      </c>
      <c r="E133" s="168">
        <v>0</v>
      </c>
      <c r="F133" s="168">
        <v>0</v>
      </c>
      <c r="G133" s="168">
        <v>0</v>
      </c>
      <c r="H133" s="171">
        <v>0</v>
      </c>
      <c r="I133" s="171">
        <v>0</v>
      </c>
      <c r="J133" s="168">
        <v>0</v>
      </c>
      <c r="K133" s="168">
        <v>0</v>
      </c>
      <c r="L133" s="168">
        <v>3</v>
      </c>
      <c r="M133" s="210">
        <f t="shared" si="4"/>
        <v>4</v>
      </c>
    </row>
    <row r="134" spans="1:13" x14ac:dyDescent="0.2">
      <c r="A134" s="192" t="s">
        <v>53</v>
      </c>
      <c r="B134" s="192" t="s">
        <v>54</v>
      </c>
      <c r="C134" s="209">
        <f t="shared" si="6"/>
        <v>8.148148148148147</v>
      </c>
      <c r="D134" s="168">
        <v>2</v>
      </c>
      <c r="E134" s="168">
        <v>3</v>
      </c>
      <c r="F134" s="168">
        <v>3</v>
      </c>
      <c r="G134" s="168">
        <v>3</v>
      </c>
      <c r="H134" s="171">
        <v>2</v>
      </c>
      <c r="I134" s="171">
        <v>2</v>
      </c>
      <c r="J134" s="168">
        <v>3</v>
      </c>
      <c r="K134" s="168">
        <v>1</v>
      </c>
      <c r="L134" s="168">
        <v>3</v>
      </c>
      <c r="M134" s="210">
        <f t="shared" ref="M134:M167" si="7">SUM(D134:L134)</f>
        <v>22</v>
      </c>
    </row>
    <row r="135" spans="1:13" x14ac:dyDescent="0.2">
      <c r="A135" s="192" t="s">
        <v>53</v>
      </c>
      <c r="B135" s="192" t="s">
        <v>54</v>
      </c>
      <c r="C135" s="209">
        <f t="shared" si="6"/>
        <v>7.7777777777777777</v>
      </c>
      <c r="D135" s="168">
        <v>2</v>
      </c>
      <c r="E135" s="168">
        <v>3</v>
      </c>
      <c r="F135" s="168">
        <v>3</v>
      </c>
      <c r="G135" s="168">
        <v>3</v>
      </c>
      <c r="H135" s="171">
        <v>1</v>
      </c>
      <c r="I135" s="171">
        <v>2</v>
      </c>
      <c r="J135" s="168">
        <v>3</v>
      </c>
      <c r="K135" s="168">
        <v>1</v>
      </c>
      <c r="L135" s="168">
        <v>3</v>
      </c>
      <c r="M135" s="210">
        <f t="shared" si="7"/>
        <v>21</v>
      </c>
    </row>
    <row r="136" spans="1:13" x14ac:dyDescent="0.2">
      <c r="A136" s="192" t="s">
        <v>454</v>
      </c>
      <c r="B136" s="192" t="s">
        <v>455</v>
      </c>
      <c r="C136" s="209">
        <f t="shared" si="6"/>
        <v>0.37037037037037035</v>
      </c>
      <c r="D136" s="168">
        <v>0</v>
      </c>
      <c r="E136" s="168">
        <v>0</v>
      </c>
      <c r="F136" s="168">
        <v>0</v>
      </c>
      <c r="G136" s="168">
        <v>0</v>
      </c>
      <c r="H136" s="171">
        <v>0</v>
      </c>
      <c r="I136" s="171">
        <v>0</v>
      </c>
      <c r="J136" s="168">
        <v>0</v>
      </c>
      <c r="K136" s="168">
        <v>1</v>
      </c>
      <c r="L136" s="168">
        <v>0</v>
      </c>
      <c r="M136" s="210">
        <f t="shared" si="7"/>
        <v>1</v>
      </c>
    </row>
    <row r="137" spans="1:13" x14ac:dyDescent="0.2">
      <c r="A137" s="192" t="s">
        <v>114</v>
      </c>
      <c r="B137" s="192" t="s">
        <v>115</v>
      </c>
      <c r="C137" s="209">
        <f t="shared" si="6"/>
        <v>2.9629629629629628</v>
      </c>
      <c r="D137" s="168">
        <v>0</v>
      </c>
      <c r="E137" s="168">
        <v>1</v>
      </c>
      <c r="F137" s="168">
        <v>1</v>
      </c>
      <c r="G137" s="168">
        <v>0</v>
      </c>
      <c r="H137" s="171">
        <v>2</v>
      </c>
      <c r="I137" s="171">
        <v>2</v>
      </c>
      <c r="J137" s="168">
        <v>1</v>
      </c>
      <c r="K137" s="168">
        <v>0</v>
      </c>
      <c r="L137" s="168">
        <v>1</v>
      </c>
      <c r="M137" s="210">
        <f t="shared" si="7"/>
        <v>8</v>
      </c>
    </row>
    <row r="138" spans="1:13" x14ac:dyDescent="0.2">
      <c r="A138" s="192" t="s">
        <v>57</v>
      </c>
      <c r="B138" s="192" t="s">
        <v>58</v>
      </c>
      <c r="C138" s="209">
        <f t="shared" si="6"/>
        <v>7.7777777777777777</v>
      </c>
      <c r="D138" s="168">
        <v>1</v>
      </c>
      <c r="E138" s="168">
        <v>3</v>
      </c>
      <c r="F138" s="168">
        <v>3</v>
      </c>
      <c r="G138" s="168">
        <v>3</v>
      </c>
      <c r="H138" s="171">
        <v>0</v>
      </c>
      <c r="I138" s="171">
        <v>2</v>
      </c>
      <c r="J138" s="168">
        <v>3</v>
      </c>
      <c r="K138" s="168">
        <v>3</v>
      </c>
      <c r="L138" s="168">
        <v>3</v>
      </c>
      <c r="M138" s="210">
        <f t="shared" si="7"/>
        <v>21</v>
      </c>
    </row>
    <row r="139" spans="1:13" x14ac:dyDescent="0.2">
      <c r="A139" s="192" t="s">
        <v>57</v>
      </c>
      <c r="B139" s="192" t="s">
        <v>58</v>
      </c>
      <c r="C139" s="209">
        <f t="shared" si="6"/>
        <v>7.4074074074074066</v>
      </c>
      <c r="D139" s="168">
        <v>1</v>
      </c>
      <c r="E139" s="168">
        <v>3</v>
      </c>
      <c r="F139" s="168">
        <v>3</v>
      </c>
      <c r="G139" s="168">
        <v>3</v>
      </c>
      <c r="H139" s="171">
        <v>0</v>
      </c>
      <c r="I139" s="171">
        <v>2</v>
      </c>
      <c r="J139" s="168">
        <v>3</v>
      </c>
      <c r="K139" s="168">
        <v>2</v>
      </c>
      <c r="L139" s="168">
        <v>3</v>
      </c>
      <c r="M139" s="210">
        <f t="shared" si="7"/>
        <v>20</v>
      </c>
    </row>
    <row r="140" spans="1:13" x14ac:dyDescent="0.2">
      <c r="A140" s="192" t="s">
        <v>59</v>
      </c>
      <c r="B140" s="192" t="s">
        <v>60</v>
      </c>
      <c r="C140" s="209">
        <f t="shared" si="6"/>
        <v>8.148148148148147</v>
      </c>
      <c r="D140" s="168">
        <v>2</v>
      </c>
      <c r="E140" s="168">
        <v>2</v>
      </c>
      <c r="F140" s="168">
        <v>2</v>
      </c>
      <c r="G140" s="168">
        <v>3</v>
      </c>
      <c r="H140" s="171">
        <v>2</v>
      </c>
      <c r="I140" s="171">
        <v>2</v>
      </c>
      <c r="J140" s="168">
        <v>3</v>
      </c>
      <c r="K140" s="168">
        <v>3</v>
      </c>
      <c r="L140" s="168">
        <v>3</v>
      </c>
      <c r="M140" s="210">
        <f t="shared" si="7"/>
        <v>22</v>
      </c>
    </row>
    <row r="141" spans="1:13" x14ac:dyDescent="0.2">
      <c r="A141" s="192" t="s">
        <v>465</v>
      </c>
      <c r="B141" s="192" t="s">
        <v>466</v>
      </c>
      <c r="C141" s="209">
        <f t="shared" si="6"/>
        <v>0</v>
      </c>
      <c r="D141" s="168">
        <v>0</v>
      </c>
      <c r="E141" s="168">
        <v>0</v>
      </c>
      <c r="F141" s="168">
        <v>0</v>
      </c>
      <c r="G141" s="168">
        <v>0</v>
      </c>
      <c r="H141" s="171">
        <v>0</v>
      </c>
      <c r="I141" s="171">
        <v>0</v>
      </c>
      <c r="J141" s="168">
        <v>0</v>
      </c>
      <c r="K141" s="168">
        <v>0</v>
      </c>
      <c r="L141" s="168">
        <v>0</v>
      </c>
      <c r="M141" s="210">
        <f t="shared" si="7"/>
        <v>0</v>
      </c>
    </row>
    <row r="142" spans="1:13" x14ac:dyDescent="0.2">
      <c r="A142" s="192" t="s">
        <v>469</v>
      </c>
      <c r="B142" s="192" t="s">
        <v>470</v>
      </c>
      <c r="C142" s="209">
        <f t="shared" si="6"/>
        <v>1.8518518518518516</v>
      </c>
      <c r="D142" s="168">
        <v>0</v>
      </c>
      <c r="E142" s="168">
        <v>1</v>
      </c>
      <c r="F142" s="168">
        <v>0</v>
      </c>
      <c r="G142" s="168">
        <v>0</v>
      </c>
      <c r="H142" s="171">
        <v>0</v>
      </c>
      <c r="I142" s="171">
        <v>2</v>
      </c>
      <c r="J142" s="168">
        <v>0</v>
      </c>
      <c r="K142" s="168">
        <v>0</v>
      </c>
      <c r="L142" s="168">
        <v>2</v>
      </c>
      <c r="M142" s="210">
        <f t="shared" si="7"/>
        <v>5</v>
      </c>
    </row>
    <row r="143" spans="1:13" x14ac:dyDescent="0.2">
      <c r="A143" s="192" t="s">
        <v>55</v>
      </c>
      <c r="B143" s="192" t="s">
        <v>56</v>
      </c>
      <c r="C143" s="209">
        <f t="shared" si="6"/>
        <v>6.2962962962962967</v>
      </c>
      <c r="D143" s="168">
        <v>1</v>
      </c>
      <c r="E143" s="168">
        <v>3</v>
      </c>
      <c r="F143" s="168">
        <v>3</v>
      </c>
      <c r="G143" s="168">
        <v>0</v>
      </c>
      <c r="H143" s="171">
        <v>2</v>
      </c>
      <c r="I143" s="171">
        <v>3</v>
      </c>
      <c r="J143" s="168">
        <v>3</v>
      </c>
      <c r="K143" s="168">
        <v>2</v>
      </c>
      <c r="L143" s="168">
        <v>0</v>
      </c>
      <c r="M143" s="210">
        <f t="shared" si="7"/>
        <v>17</v>
      </c>
    </row>
    <row r="144" spans="1:13" x14ac:dyDescent="0.2">
      <c r="A144" s="192" t="s">
        <v>55</v>
      </c>
      <c r="B144" s="192" t="s">
        <v>56</v>
      </c>
      <c r="C144" s="209">
        <f t="shared" si="6"/>
        <v>6.2962962962962967</v>
      </c>
      <c r="D144" s="168">
        <v>1</v>
      </c>
      <c r="E144" s="168">
        <v>3</v>
      </c>
      <c r="F144" s="168">
        <v>3</v>
      </c>
      <c r="G144" s="168">
        <v>0</v>
      </c>
      <c r="H144" s="171">
        <v>2</v>
      </c>
      <c r="I144" s="171">
        <v>3</v>
      </c>
      <c r="J144" s="168">
        <v>3</v>
      </c>
      <c r="K144" s="168">
        <v>2</v>
      </c>
      <c r="L144" s="168">
        <v>0</v>
      </c>
      <c r="M144" s="210">
        <f t="shared" si="7"/>
        <v>17</v>
      </c>
    </row>
    <row r="145" spans="1:15" x14ac:dyDescent="0.2">
      <c r="A145" s="192" t="s">
        <v>67</v>
      </c>
      <c r="B145" s="192" t="s">
        <v>68</v>
      </c>
      <c r="C145" s="209">
        <f t="shared" si="6"/>
        <v>5.1851851851851851</v>
      </c>
      <c r="D145" s="168">
        <v>1</v>
      </c>
      <c r="E145" s="168">
        <v>3</v>
      </c>
      <c r="F145" s="168">
        <v>1</v>
      </c>
      <c r="G145" s="168">
        <v>0</v>
      </c>
      <c r="H145" s="171">
        <v>0</v>
      </c>
      <c r="I145" s="171">
        <v>2</v>
      </c>
      <c r="J145" s="168">
        <v>3</v>
      </c>
      <c r="K145" s="168">
        <v>2</v>
      </c>
      <c r="L145" s="168">
        <v>2</v>
      </c>
      <c r="M145" s="210">
        <f t="shared" si="7"/>
        <v>14</v>
      </c>
    </row>
    <row r="146" spans="1:15" x14ac:dyDescent="0.2">
      <c r="A146" s="192" t="s">
        <v>67</v>
      </c>
      <c r="B146" s="192" t="s">
        <v>68</v>
      </c>
      <c r="C146" s="209">
        <f t="shared" si="6"/>
        <v>5.1851851851851851</v>
      </c>
      <c r="D146" s="168">
        <v>1</v>
      </c>
      <c r="E146" s="168">
        <v>3</v>
      </c>
      <c r="F146" s="168">
        <v>1</v>
      </c>
      <c r="G146" s="168">
        <v>0</v>
      </c>
      <c r="H146" s="171">
        <v>0</v>
      </c>
      <c r="I146" s="171">
        <v>2</v>
      </c>
      <c r="J146" s="168">
        <v>3</v>
      </c>
      <c r="K146" s="168">
        <v>2</v>
      </c>
      <c r="L146" s="168">
        <v>2</v>
      </c>
      <c r="M146" s="210">
        <f t="shared" si="7"/>
        <v>14</v>
      </c>
    </row>
    <row r="147" spans="1:15" x14ac:dyDescent="0.2">
      <c r="A147" s="192" t="s">
        <v>67</v>
      </c>
      <c r="B147" s="192" t="s">
        <v>68</v>
      </c>
      <c r="C147" s="209">
        <f t="shared" si="6"/>
        <v>3.333333333333333</v>
      </c>
      <c r="D147" s="168">
        <v>1</v>
      </c>
      <c r="E147" s="168">
        <v>2</v>
      </c>
      <c r="F147" s="168">
        <v>0</v>
      </c>
      <c r="G147" s="168">
        <v>0</v>
      </c>
      <c r="H147" s="171">
        <v>0</v>
      </c>
      <c r="I147" s="171">
        <v>2</v>
      </c>
      <c r="J147" s="168">
        <v>0</v>
      </c>
      <c r="K147" s="168">
        <v>2</v>
      </c>
      <c r="L147" s="168">
        <v>2</v>
      </c>
      <c r="M147" s="210">
        <f t="shared" si="7"/>
        <v>9</v>
      </c>
    </row>
    <row r="148" spans="1:15" x14ac:dyDescent="0.2">
      <c r="A148" s="192" t="s">
        <v>67</v>
      </c>
      <c r="B148" s="192" t="s">
        <v>68</v>
      </c>
      <c r="C148" s="209">
        <f t="shared" si="6"/>
        <v>3.333333333333333</v>
      </c>
      <c r="D148" s="168">
        <v>1</v>
      </c>
      <c r="E148" s="168">
        <v>2</v>
      </c>
      <c r="F148" s="168">
        <v>0</v>
      </c>
      <c r="G148" s="168">
        <v>0</v>
      </c>
      <c r="H148" s="171">
        <v>0</v>
      </c>
      <c r="I148" s="171">
        <v>2</v>
      </c>
      <c r="J148" s="168">
        <v>0</v>
      </c>
      <c r="K148" s="168">
        <v>2</v>
      </c>
      <c r="L148" s="168">
        <v>2</v>
      </c>
      <c r="M148" s="210">
        <f t="shared" si="7"/>
        <v>9</v>
      </c>
    </row>
    <row r="149" spans="1:15" x14ac:dyDescent="0.2">
      <c r="A149" s="192" t="s">
        <v>480</v>
      </c>
      <c r="B149" s="192" t="s">
        <v>481</v>
      </c>
      <c r="C149" s="209">
        <f t="shared" si="6"/>
        <v>2.5925925925925926</v>
      </c>
      <c r="D149" s="168">
        <v>1</v>
      </c>
      <c r="E149" s="168">
        <v>0</v>
      </c>
      <c r="F149" s="168">
        <v>1</v>
      </c>
      <c r="G149" s="168">
        <v>0</v>
      </c>
      <c r="H149" s="171">
        <v>0</v>
      </c>
      <c r="I149" s="171">
        <v>1</v>
      </c>
      <c r="J149" s="168">
        <v>0</v>
      </c>
      <c r="K149" s="168">
        <v>3</v>
      </c>
      <c r="L149" s="168">
        <v>1</v>
      </c>
      <c r="M149" s="210">
        <f t="shared" si="7"/>
        <v>7</v>
      </c>
    </row>
    <row r="150" spans="1:15" s="161" customFormat="1" x14ac:dyDescent="0.2">
      <c r="A150" s="192" t="s">
        <v>586</v>
      </c>
      <c r="B150" s="192" t="s">
        <v>587</v>
      </c>
      <c r="C150" s="209">
        <f t="shared" ref="C150:C167" si="8">((M150-$M$3)/($M$2-$M$3))*10</f>
        <v>0.37037037037037035</v>
      </c>
      <c r="D150" s="168">
        <v>0</v>
      </c>
      <c r="E150" s="168">
        <v>0</v>
      </c>
      <c r="F150" s="168">
        <v>0</v>
      </c>
      <c r="G150" s="168">
        <v>0</v>
      </c>
      <c r="H150" s="171">
        <v>0</v>
      </c>
      <c r="I150" s="171">
        <v>0</v>
      </c>
      <c r="J150" s="168">
        <v>0</v>
      </c>
      <c r="K150" s="168">
        <v>0</v>
      </c>
      <c r="L150" s="168">
        <v>1</v>
      </c>
      <c r="M150" s="210">
        <f t="shared" si="7"/>
        <v>1</v>
      </c>
    </row>
    <row r="151" spans="1:15" s="161" customFormat="1" x14ac:dyDescent="0.2">
      <c r="A151" s="192" t="s">
        <v>488</v>
      </c>
      <c r="B151" s="192" t="s">
        <v>489</v>
      </c>
      <c r="C151" s="209">
        <f t="shared" si="8"/>
        <v>1.8518518518518516</v>
      </c>
      <c r="D151" s="168">
        <v>0</v>
      </c>
      <c r="E151" s="168">
        <v>0</v>
      </c>
      <c r="F151" s="168">
        <v>0</v>
      </c>
      <c r="G151" s="168">
        <v>0</v>
      </c>
      <c r="H151" s="171">
        <v>2</v>
      </c>
      <c r="I151" s="171">
        <v>2</v>
      </c>
      <c r="J151" s="168">
        <v>0</v>
      </c>
      <c r="K151" s="168">
        <v>0</v>
      </c>
      <c r="L151" s="168">
        <v>1</v>
      </c>
      <c r="M151" s="210">
        <f t="shared" si="7"/>
        <v>5</v>
      </c>
    </row>
    <row r="152" spans="1:15" s="161" customFormat="1" x14ac:dyDescent="0.2">
      <c r="A152" s="192" t="s">
        <v>492</v>
      </c>
      <c r="B152" s="192" t="s">
        <v>493</v>
      </c>
      <c r="C152" s="209">
        <f t="shared" si="8"/>
        <v>2.2222222222222223</v>
      </c>
      <c r="D152" s="168">
        <v>0</v>
      </c>
      <c r="E152" s="168">
        <v>0</v>
      </c>
      <c r="F152" s="168">
        <v>1</v>
      </c>
      <c r="G152" s="168">
        <v>0</v>
      </c>
      <c r="H152" s="171">
        <v>2</v>
      </c>
      <c r="I152" s="171">
        <v>2</v>
      </c>
      <c r="J152" s="168">
        <v>0</v>
      </c>
      <c r="K152" s="168">
        <v>1</v>
      </c>
      <c r="L152" s="168">
        <v>0</v>
      </c>
      <c r="M152" s="210">
        <f t="shared" si="7"/>
        <v>6</v>
      </c>
    </row>
    <row r="153" spans="1:15" s="161" customFormat="1" x14ac:dyDescent="0.2">
      <c r="A153" s="192" t="s">
        <v>588</v>
      </c>
      <c r="B153" s="192" t="s">
        <v>496</v>
      </c>
      <c r="C153" s="209">
        <f t="shared" si="8"/>
        <v>4.4444444444444446</v>
      </c>
      <c r="D153" s="168">
        <v>1</v>
      </c>
      <c r="E153" s="168">
        <v>1</v>
      </c>
      <c r="F153" s="168">
        <v>2</v>
      </c>
      <c r="G153" s="168">
        <v>0</v>
      </c>
      <c r="H153" s="171">
        <v>2</v>
      </c>
      <c r="I153" s="171">
        <v>2</v>
      </c>
      <c r="J153" s="168">
        <v>0</v>
      </c>
      <c r="K153" s="168">
        <v>3</v>
      </c>
      <c r="L153" s="168">
        <v>1</v>
      </c>
      <c r="M153" s="210">
        <f t="shared" si="7"/>
        <v>12</v>
      </c>
    </row>
    <row r="154" spans="1:15" s="164" customFormat="1" ht="15.75" customHeight="1" x14ac:dyDescent="0.2">
      <c r="A154" s="192" t="s">
        <v>588</v>
      </c>
      <c r="B154" s="192" t="s">
        <v>496</v>
      </c>
      <c r="C154" s="209">
        <f t="shared" si="8"/>
        <v>2.5925925925925926</v>
      </c>
      <c r="D154" s="168">
        <v>1</v>
      </c>
      <c r="E154" s="168">
        <v>0</v>
      </c>
      <c r="F154" s="168">
        <v>1</v>
      </c>
      <c r="G154" s="168">
        <v>0</v>
      </c>
      <c r="H154" s="171">
        <v>0</v>
      </c>
      <c r="I154" s="171">
        <v>1</v>
      </c>
      <c r="J154" s="168">
        <v>0</v>
      </c>
      <c r="K154" s="168">
        <v>3</v>
      </c>
      <c r="L154" s="168">
        <v>1</v>
      </c>
      <c r="M154" s="210">
        <f t="shared" si="7"/>
        <v>7</v>
      </c>
      <c r="N154" s="163"/>
    </row>
    <row r="155" spans="1:15" s="162" customFormat="1" ht="15.75" customHeight="1" x14ac:dyDescent="0.2">
      <c r="A155" s="192" t="s">
        <v>588</v>
      </c>
      <c r="B155" s="192" t="s">
        <v>496</v>
      </c>
      <c r="C155" s="209">
        <f t="shared" si="8"/>
        <v>1.8518518518518516</v>
      </c>
      <c r="D155" s="168">
        <v>1</v>
      </c>
      <c r="E155" s="168">
        <v>0</v>
      </c>
      <c r="F155" s="168">
        <v>0</v>
      </c>
      <c r="G155" s="168">
        <v>0</v>
      </c>
      <c r="H155" s="171">
        <v>0</v>
      </c>
      <c r="I155" s="171">
        <v>1</v>
      </c>
      <c r="J155" s="168">
        <v>0</v>
      </c>
      <c r="K155" s="168">
        <v>3</v>
      </c>
      <c r="L155" s="168">
        <v>0</v>
      </c>
      <c r="M155" s="210">
        <f t="shared" si="7"/>
        <v>5</v>
      </c>
      <c r="N155" s="165"/>
      <c r="O155" s="165"/>
    </row>
    <row r="156" spans="1:15" s="162" customFormat="1" x14ac:dyDescent="0.2">
      <c r="A156" s="192" t="s">
        <v>588</v>
      </c>
      <c r="B156" s="192" t="s">
        <v>496</v>
      </c>
      <c r="C156" s="209">
        <f t="shared" si="8"/>
        <v>3.7037037037037033</v>
      </c>
      <c r="D156" s="168">
        <v>1</v>
      </c>
      <c r="E156" s="168">
        <v>1</v>
      </c>
      <c r="F156" s="168">
        <v>1</v>
      </c>
      <c r="G156" s="168">
        <v>0</v>
      </c>
      <c r="H156" s="171">
        <v>2</v>
      </c>
      <c r="I156" s="171">
        <v>1</v>
      </c>
      <c r="J156" s="168">
        <v>0</v>
      </c>
      <c r="K156" s="168">
        <v>3</v>
      </c>
      <c r="L156" s="168">
        <v>1</v>
      </c>
      <c r="M156" s="210">
        <f t="shared" si="7"/>
        <v>10</v>
      </c>
      <c r="N156" s="165"/>
      <c r="O156" s="165"/>
    </row>
    <row r="157" spans="1:15" s="152" customFormat="1" x14ac:dyDescent="0.2">
      <c r="A157" s="192" t="s">
        <v>588</v>
      </c>
      <c r="B157" s="192" t="s">
        <v>496</v>
      </c>
      <c r="C157" s="209">
        <f t="shared" si="8"/>
        <v>3.333333333333333</v>
      </c>
      <c r="D157" s="168">
        <v>1</v>
      </c>
      <c r="E157" s="168">
        <v>1</v>
      </c>
      <c r="F157" s="168">
        <v>2</v>
      </c>
      <c r="G157" s="168">
        <v>0</v>
      </c>
      <c r="H157" s="171">
        <v>1</v>
      </c>
      <c r="I157" s="171">
        <v>0</v>
      </c>
      <c r="J157" s="168">
        <v>0</v>
      </c>
      <c r="K157" s="168">
        <v>3</v>
      </c>
      <c r="L157" s="168">
        <v>1</v>
      </c>
      <c r="M157" s="210">
        <f t="shared" si="7"/>
        <v>9</v>
      </c>
      <c r="N157" s="166"/>
      <c r="O157" s="167"/>
    </row>
    <row r="158" spans="1:15" x14ac:dyDescent="0.2">
      <c r="A158" s="192" t="s">
        <v>503</v>
      </c>
      <c r="B158" s="192" t="s">
        <v>504</v>
      </c>
      <c r="C158" s="209">
        <f t="shared" si="8"/>
        <v>2.9629629629629628</v>
      </c>
      <c r="D158" s="168">
        <v>2</v>
      </c>
      <c r="E158" s="168">
        <v>0</v>
      </c>
      <c r="F158" s="168">
        <v>1</v>
      </c>
      <c r="G158" s="168">
        <v>0</v>
      </c>
      <c r="H158" s="171">
        <v>0</v>
      </c>
      <c r="I158" s="171">
        <v>2</v>
      </c>
      <c r="J158" s="168">
        <v>0</v>
      </c>
      <c r="K158" s="168">
        <v>0</v>
      </c>
      <c r="L158" s="168">
        <v>3</v>
      </c>
      <c r="M158" s="210">
        <f t="shared" si="7"/>
        <v>8</v>
      </c>
      <c r="N158" s="169"/>
      <c r="O158" s="161"/>
    </row>
    <row r="159" spans="1:15" x14ac:dyDescent="0.2">
      <c r="A159" s="192" t="s">
        <v>503</v>
      </c>
      <c r="B159" s="192" t="s">
        <v>504</v>
      </c>
      <c r="C159" s="209">
        <f t="shared" si="8"/>
        <v>2.9629629629629628</v>
      </c>
      <c r="D159" s="168">
        <v>2</v>
      </c>
      <c r="E159" s="168">
        <v>0</v>
      </c>
      <c r="F159" s="168">
        <v>1</v>
      </c>
      <c r="G159" s="168">
        <v>0</v>
      </c>
      <c r="H159" s="171">
        <v>0</v>
      </c>
      <c r="I159" s="171">
        <v>2</v>
      </c>
      <c r="J159" s="168">
        <v>0</v>
      </c>
      <c r="K159" s="168">
        <v>0</v>
      </c>
      <c r="L159" s="168">
        <v>3</v>
      </c>
      <c r="M159" s="210">
        <f t="shared" si="7"/>
        <v>8</v>
      </c>
      <c r="N159" s="169"/>
      <c r="O159" s="161"/>
    </row>
    <row r="160" spans="1:15" x14ac:dyDescent="0.2">
      <c r="A160" s="192" t="s">
        <v>503</v>
      </c>
      <c r="B160" s="192" t="s">
        <v>504</v>
      </c>
      <c r="C160" s="209">
        <f t="shared" si="8"/>
        <v>2.9629629629629628</v>
      </c>
      <c r="D160" s="168">
        <v>2</v>
      </c>
      <c r="E160" s="168">
        <v>0</v>
      </c>
      <c r="F160" s="168">
        <v>1</v>
      </c>
      <c r="G160" s="168">
        <v>0</v>
      </c>
      <c r="H160" s="171">
        <v>0</v>
      </c>
      <c r="I160" s="171">
        <v>2</v>
      </c>
      <c r="J160" s="168">
        <v>0</v>
      </c>
      <c r="K160" s="168">
        <v>0</v>
      </c>
      <c r="L160" s="168">
        <v>3</v>
      </c>
      <c r="M160" s="210">
        <f t="shared" si="7"/>
        <v>8</v>
      </c>
      <c r="N160" s="169"/>
      <c r="O160" s="161"/>
    </row>
    <row r="161" spans="1:15" x14ac:dyDescent="0.2">
      <c r="A161" s="161" t="s">
        <v>509</v>
      </c>
      <c r="B161" s="161" t="s">
        <v>510</v>
      </c>
      <c r="C161" s="209">
        <f t="shared" si="8"/>
        <v>2.9629629629629628</v>
      </c>
      <c r="D161" s="168">
        <v>2</v>
      </c>
      <c r="E161" s="168">
        <v>1</v>
      </c>
      <c r="F161" s="168">
        <v>1</v>
      </c>
      <c r="G161" s="168">
        <v>0</v>
      </c>
      <c r="H161" s="171">
        <v>0</v>
      </c>
      <c r="I161" s="171">
        <v>1</v>
      </c>
      <c r="J161" s="168">
        <v>0</v>
      </c>
      <c r="K161" s="168">
        <v>1</v>
      </c>
      <c r="L161" s="168">
        <v>2</v>
      </c>
      <c r="M161" s="210">
        <f t="shared" si="7"/>
        <v>8</v>
      </c>
      <c r="N161" s="169"/>
      <c r="O161" s="161"/>
    </row>
    <row r="162" spans="1:15" x14ac:dyDescent="0.2">
      <c r="A162" s="161" t="s">
        <v>94</v>
      </c>
      <c r="B162" s="161" t="s">
        <v>95</v>
      </c>
      <c r="C162" s="209">
        <f t="shared" si="8"/>
        <v>9.2592592592592595</v>
      </c>
      <c r="D162" s="168">
        <v>1</v>
      </c>
      <c r="E162" s="168">
        <v>3</v>
      </c>
      <c r="F162" s="168">
        <v>3</v>
      </c>
      <c r="G162" s="168">
        <v>3</v>
      </c>
      <c r="H162" s="171">
        <v>3</v>
      </c>
      <c r="I162" s="171">
        <v>3</v>
      </c>
      <c r="J162" s="168">
        <v>3</v>
      </c>
      <c r="K162" s="168">
        <v>3</v>
      </c>
      <c r="L162" s="168">
        <v>3</v>
      </c>
      <c r="M162" s="210">
        <f t="shared" si="7"/>
        <v>25</v>
      </c>
      <c r="N162" s="169"/>
      <c r="O162" s="161"/>
    </row>
    <row r="163" spans="1:15" x14ac:dyDescent="0.2">
      <c r="A163" s="161" t="s">
        <v>96</v>
      </c>
      <c r="B163" s="161" t="s">
        <v>97</v>
      </c>
      <c r="C163" s="209">
        <f t="shared" si="8"/>
        <v>4.8148148148148149</v>
      </c>
      <c r="D163" s="168">
        <v>2</v>
      </c>
      <c r="E163" s="168">
        <v>2</v>
      </c>
      <c r="F163" s="168">
        <v>2</v>
      </c>
      <c r="G163" s="168">
        <v>0</v>
      </c>
      <c r="H163" s="171">
        <v>1</v>
      </c>
      <c r="I163" s="171">
        <v>2</v>
      </c>
      <c r="J163" s="168">
        <v>1</v>
      </c>
      <c r="K163" s="168">
        <v>1</v>
      </c>
      <c r="L163" s="168">
        <v>2</v>
      </c>
      <c r="M163" s="210">
        <f t="shared" si="7"/>
        <v>13</v>
      </c>
      <c r="N163" s="169"/>
      <c r="O163" s="161"/>
    </row>
    <row r="164" spans="1:15" x14ac:dyDescent="0.2">
      <c r="A164" s="161" t="s">
        <v>51</v>
      </c>
      <c r="B164" s="161" t="s">
        <v>52</v>
      </c>
      <c r="C164" s="209">
        <f t="shared" si="8"/>
        <v>7.0370370370370372</v>
      </c>
      <c r="D164" s="168">
        <v>1</v>
      </c>
      <c r="E164" s="168">
        <v>3</v>
      </c>
      <c r="F164" s="168">
        <v>2</v>
      </c>
      <c r="G164" s="168">
        <v>2</v>
      </c>
      <c r="H164" s="171">
        <v>2</v>
      </c>
      <c r="I164" s="171">
        <v>3</v>
      </c>
      <c r="J164" s="168">
        <v>1</v>
      </c>
      <c r="K164" s="168">
        <v>3</v>
      </c>
      <c r="L164" s="168">
        <v>2</v>
      </c>
      <c r="M164" s="210">
        <f t="shared" si="7"/>
        <v>19</v>
      </c>
      <c r="N164" s="169"/>
      <c r="O164" s="161"/>
    </row>
    <row r="165" spans="1:15" x14ac:dyDescent="0.2">
      <c r="A165" s="161" t="s">
        <v>51</v>
      </c>
      <c r="B165" s="161" t="s">
        <v>52</v>
      </c>
      <c r="C165" s="209">
        <f t="shared" si="8"/>
        <v>6.6666666666666661</v>
      </c>
      <c r="D165" s="168">
        <v>0</v>
      </c>
      <c r="E165" s="168">
        <v>3</v>
      </c>
      <c r="F165" s="168">
        <v>2</v>
      </c>
      <c r="G165" s="168">
        <v>2</v>
      </c>
      <c r="H165" s="171">
        <v>2</v>
      </c>
      <c r="I165" s="171">
        <v>3</v>
      </c>
      <c r="J165" s="168">
        <v>1</v>
      </c>
      <c r="K165" s="168">
        <v>3</v>
      </c>
      <c r="L165" s="168">
        <v>2</v>
      </c>
      <c r="M165" s="210">
        <f t="shared" si="7"/>
        <v>18</v>
      </c>
      <c r="N165" s="169"/>
      <c r="O165" s="161"/>
    </row>
    <row r="166" spans="1:15" x14ac:dyDescent="0.2">
      <c r="A166" s="161" t="s">
        <v>522</v>
      </c>
      <c r="B166" s="161" t="s">
        <v>523</v>
      </c>
      <c r="C166" s="209">
        <f t="shared" si="8"/>
        <v>1.8518518518518516</v>
      </c>
      <c r="D166" s="168">
        <v>1</v>
      </c>
      <c r="E166" s="168">
        <v>1</v>
      </c>
      <c r="F166" s="168">
        <v>1</v>
      </c>
      <c r="G166" s="168">
        <v>0</v>
      </c>
      <c r="H166" s="171">
        <v>0</v>
      </c>
      <c r="I166" s="171">
        <v>0</v>
      </c>
      <c r="J166" s="168">
        <v>0</v>
      </c>
      <c r="K166" s="168">
        <v>0</v>
      </c>
      <c r="L166" s="168">
        <v>2</v>
      </c>
      <c r="M166" s="210">
        <f t="shared" si="7"/>
        <v>5</v>
      </c>
      <c r="N166" s="169"/>
      <c r="O166" s="161"/>
    </row>
    <row r="167" spans="1:15" x14ac:dyDescent="0.2">
      <c r="A167" s="161" t="s">
        <v>526</v>
      </c>
      <c r="B167" s="161" t="s">
        <v>527</v>
      </c>
      <c r="C167" s="209">
        <f t="shared" si="8"/>
        <v>3.333333333333333</v>
      </c>
      <c r="D167" s="168">
        <v>2</v>
      </c>
      <c r="E167" s="168">
        <v>0</v>
      </c>
      <c r="F167" s="168">
        <v>1</v>
      </c>
      <c r="G167" s="168">
        <v>0</v>
      </c>
      <c r="H167" s="171">
        <v>2</v>
      </c>
      <c r="I167" s="171">
        <v>0</v>
      </c>
      <c r="J167" s="168">
        <v>0</v>
      </c>
      <c r="K167" s="168">
        <v>2</v>
      </c>
      <c r="L167" s="168">
        <v>2</v>
      </c>
      <c r="M167" s="210">
        <f t="shared" si="7"/>
        <v>9</v>
      </c>
      <c r="N167" s="169"/>
      <c r="O167" s="161"/>
    </row>
    <row r="168" spans="1:15" x14ac:dyDescent="0.2">
      <c r="A168" s="161"/>
      <c r="B168" s="161"/>
      <c r="C168" s="168"/>
      <c r="D168" s="168"/>
      <c r="E168" s="168"/>
      <c r="F168" s="168"/>
      <c r="G168" s="168"/>
      <c r="H168" s="171"/>
      <c r="I168" s="171"/>
      <c r="J168" s="168"/>
      <c r="K168" s="168"/>
      <c r="L168" s="168"/>
      <c r="M168" s="168"/>
      <c r="N168" s="169"/>
      <c r="O168" s="161"/>
    </row>
    <row r="169" spans="1:15" x14ac:dyDescent="0.2">
      <c r="A169" s="161"/>
      <c r="B169" s="161"/>
      <c r="C169" s="168"/>
      <c r="D169" s="168"/>
      <c r="E169" s="168"/>
      <c r="F169" s="168"/>
      <c r="G169" s="168"/>
      <c r="H169" s="171"/>
      <c r="I169" s="171"/>
      <c r="J169" s="168"/>
      <c r="K169" s="168"/>
      <c r="L169" s="168"/>
      <c r="M169" s="168"/>
      <c r="N169" s="169"/>
      <c r="O169" s="161"/>
    </row>
    <row r="170" spans="1:15" x14ac:dyDescent="0.2">
      <c r="A170" s="161"/>
      <c r="B170" s="161"/>
      <c r="C170" s="168"/>
      <c r="D170" s="168"/>
      <c r="E170" s="168"/>
      <c r="F170" s="168"/>
      <c r="G170" s="168"/>
      <c r="H170" s="171"/>
      <c r="I170" s="171"/>
      <c r="J170" s="168"/>
      <c r="K170" s="168"/>
      <c r="L170" s="168"/>
      <c r="M170" s="168"/>
      <c r="N170" s="169"/>
      <c r="O170" s="161"/>
    </row>
    <row r="171" spans="1:15" x14ac:dyDescent="0.2">
      <c r="A171" s="161"/>
      <c r="B171" s="161"/>
      <c r="C171" s="168"/>
      <c r="D171" s="168"/>
      <c r="E171" s="168"/>
      <c r="F171" s="168"/>
      <c r="G171" s="168"/>
      <c r="H171" s="171"/>
      <c r="I171" s="171"/>
      <c r="J171" s="168"/>
      <c r="K171" s="168"/>
      <c r="L171" s="168"/>
      <c r="M171" s="168"/>
      <c r="N171" s="169"/>
      <c r="O171" s="161"/>
    </row>
    <row r="172" spans="1:15" x14ac:dyDescent="0.2">
      <c r="A172" s="161"/>
      <c r="B172" s="161"/>
      <c r="C172" s="168"/>
      <c r="D172" s="168"/>
      <c r="E172" s="168"/>
      <c r="F172" s="168"/>
      <c r="G172" s="168"/>
      <c r="H172" s="171"/>
      <c r="I172" s="171"/>
      <c r="J172" s="168"/>
      <c r="K172" s="168"/>
      <c r="L172" s="168"/>
      <c r="M172" s="168"/>
      <c r="N172" s="169"/>
      <c r="O172" s="161"/>
    </row>
    <row r="173" spans="1:15" x14ac:dyDescent="0.2">
      <c r="A173" s="161"/>
      <c r="B173" s="161"/>
      <c r="C173" s="168"/>
      <c r="D173" s="168"/>
      <c r="E173" s="168"/>
      <c r="F173" s="168"/>
      <c r="G173" s="168"/>
      <c r="H173" s="171"/>
      <c r="I173" s="171"/>
      <c r="J173" s="168"/>
      <c r="K173" s="168"/>
      <c r="L173" s="168"/>
      <c r="M173" s="168"/>
      <c r="N173" s="169"/>
      <c r="O173" s="161"/>
    </row>
    <row r="174" spans="1:15" x14ac:dyDescent="0.2">
      <c r="A174" s="161"/>
      <c r="B174" s="161"/>
      <c r="C174" s="168"/>
      <c r="D174" s="168"/>
      <c r="E174" s="168"/>
      <c r="F174" s="168"/>
      <c r="G174" s="168"/>
      <c r="H174" s="171"/>
      <c r="I174" s="171"/>
      <c r="J174" s="168"/>
      <c r="K174" s="168"/>
      <c r="L174" s="168"/>
      <c r="M174" s="168"/>
      <c r="N174" s="169"/>
      <c r="O174" s="161"/>
    </row>
    <row r="175" spans="1:15" x14ac:dyDescent="0.2">
      <c r="A175" s="161"/>
      <c r="B175" s="161"/>
      <c r="C175" s="168"/>
      <c r="D175" s="168"/>
      <c r="E175" s="168"/>
      <c r="F175" s="168"/>
      <c r="G175" s="168"/>
      <c r="H175" s="171"/>
      <c r="I175" s="171"/>
      <c r="J175" s="168"/>
      <c r="K175" s="168"/>
      <c r="L175" s="168"/>
      <c r="M175" s="168"/>
      <c r="N175" s="169"/>
      <c r="O175" s="161"/>
    </row>
    <row r="176" spans="1:15" x14ac:dyDescent="0.2">
      <c r="A176" s="161"/>
      <c r="B176" s="161"/>
      <c r="C176" s="168"/>
      <c r="D176" s="168"/>
      <c r="E176" s="168"/>
      <c r="F176" s="168"/>
      <c r="G176" s="168"/>
      <c r="H176" s="171"/>
      <c r="I176" s="171"/>
      <c r="J176" s="168"/>
      <c r="K176" s="168"/>
      <c r="L176" s="168"/>
      <c r="M176" s="168"/>
      <c r="N176" s="169"/>
      <c r="O176" s="161"/>
    </row>
    <row r="177" spans="1:15" x14ac:dyDescent="0.2">
      <c r="A177" s="161"/>
      <c r="B177" s="161"/>
      <c r="C177" s="168"/>
      <c r="D177" s="168"/>
      <c r="E177" s="168"/>
      <c r="F177" s="168"/>
      <c r="G177" s="168"/>
      <c r="H177" s="171"/>
      <c r="I177" s="171"/>
      <c r="J177" s="168"/>
      <c r="K177" s="168"/>
      <c r="L177" s="168"/>
      <c r="M177" s="168"/>
      <c r="N177" s="169"/>
      <c r="O177" s="161"/>
    </row>
    <row r="178" spans="1:15" x14ac:dyDescent="0.2">
      <c r="A178" s="161"/>
      <c r="B178" s="161"/>
      <c r="C178" s="168"/>
      <c r="D178" s="168"/>
      <c r="E178" s="168"/>
      <c r="F178" s="168"/>
      <c r="G178" s="168"/>
      <c r="H178" s="171"/>
      <c r="I178" s="171"/>
      <c r="J178" s="168"/>
      <c r="K178" s="168"/>
      <c r="L178" s="168"/>
      <c r="M178" s="168"/>
      <c r="N178" s="169"/>
      <c r="O178" s="161"/>
    </row>
    <row r="179" spans="1:15" x14ac:dyDescent="0.2">
      <c r="A179" s="161"/>
      <c r="B179" s="161"/>
      <c r="C179" s="168"/>
      <c r="D179" s="168"/>
      <c r="E179" s="168"/>
      <c r="F179" s="168"/>
      <c r="G179" s="168"/>
      <c r="H179" s="171"/>
      <c r="I179" s="171"/>
      <c r="J179" s="168"/>
      <c r="K179" s="168"/>
      <c r="L179" s="168"/>
      <c r="M179" s="168"/>
      <c r="N179" s="169"/>
      <c r="O179" s="161"/>
    </row>
    <row r="180" spans="1:15" x14ac:dyDescent="0.2">
      <c r="A180" s="161"/>
      <c r="B180" s="161"/>
      <c r="C180" s="168"/>
      <c r="D180" s="168"/>
      <c r="E180" s="168"/>
      <c r="F180" s="168"/>
      <c r="G180" s="168"/>
      <c r="H180" s="171"/>
      <c r="I180" s="171"/>
      <c r="J180" s="168"/>
      <c r="K180" s="168"/>
      <c r="L180" s="168"/>
      <c r="M180" s="168"/>
      <c r="N180" s="169"/>
      <c r="O180" s="161"/>
    </row>
    <row r="181" spans="1:15" x14ac:dyDescent="0.2">
      <c r="A181" s="161"/>
      <c r="B181" s="161"/>
      <c r="C181" s="168"/>
      <c r="D181" s="168"/>
      <c r="E181" s="168"/>
      <c r="F181" s="168"/>
      <c r="G181" s="168"/>
      <c r="H181" s="171"/>
      <c r="I181" s="171"/>
      <c r="J181" s="168"/>
      <c r="K181" s="168"/>
      <c r="L181" s="168"/>
      <c r="M181" s="168"/>
      <c r="N181" s="169"/>
      <c r="O181" s="161"/>
    </row>
    <row r="182" spans="1:15" x14ac:dyDescent="0.2">
      <c r="A182" s="161"/>
      <c r="B182" s="161"/>
      <c r="C182" s="168"/>
      <c r="D182" s="168"/>
      <c r="E182" s="168"/>
      <c r="F182" s="168"/>
      <c r="G182" s="168"/>
      <c r="H182" s="171"/>
      <c r="I182" s="171"/>
      <c r="J182" s="168"/>
      <c r="K182" s="168"/>
      <c r="L182" s="168"/>
      <c r="M182" s="168"/>
      <c r="N182" s="169"/>
      <c r="O182" s="161"/>
    </row>
    <row r="183" spans="1:15" x14ac:dyDescent="0.2">
      <c r="A183" s="161"/>
      <c r="B183" s="161"/>
      <c r="C183" s="168"/>
      <c r="D183" s="168"/>
      <c r="E183" s="168"/>
      <c r="F183" s="168"/>
      <c r="G183" s="168"/>
      <c r="H183" s="171"/>
      <c r="I183" s="171"/>
      <c r="J183" s="168"/>
      <c r="K183" s="168"/>
      <c r="L183" s="168"/>
      <c r="M183" s="168"/>
      <c r="N183" s="169"/>
      <c r="O183" s="161"/>
    </row>
    <row r="184" spans="1:15" x14ac:dyDescent="0.2">
      <c r="A184" s="161"/>
      <c r="B184" s="161"/>
      <c r="C184" s="168"/>
      <c r="D184" s="168"/>
      <c r="E184" s="168"/>
      <c r="F184" s="168"/>
      <c r="G184" s="168"/>
      <c r="H184" s="171"/>
      <c r="I184" s="171"/>
      <c r="J184" s="168"/>
      <c r="K184" s="168"/>
      <c r="L184" s="168"/>
      <c r="M184" s="168"/>
      <c r="N184" s="169"/>
      <c r="O184" s="161"/>
    </row>
    <row r="185" spans="1:15" x14ac:dyDescent="0.2">
      <c r="A185" s="161"/>
      <c r="B185" s="161"/>
      <c r="C185" s="168"/>
      <c r="D185" s="168"/>
      <c r="E185" s="168"/>
      <c r="F185" s="168"/>
      <c r="G185" s="168"/>
      <c r="H185" s="171"/>
      <c r="I185" s="171"/>
      <c r="J185" s="168"/>
      <c r="K185" s="168"/>
      <c r="L185" s="168"/>
      <c r="M185" s="168"/>
      <c r="N185" s="169"/>
      <c r="O185" s="161"/>
    </row>
    <row r="186" spans="1:15" x14ac:dyDescent="0.2">
      <c r="A186" s="161"/>
      <c r="B186" s="161"/>
      <c r="C186" s="168"/>
      <c r="D186" s="168"/>
      <c r="E186" s="168"/>
      <c r="F186" s="168"/>
      <c r="G186" s="168"/>
      <c r="H186" s="171"/>
      <c r="I186" s="171"/>
      <c r="J186" s="168"/>
      <c r="K186" s="168"/>
      <c r="L186" s="168"/>
      <c r="M186" s="168"/>
      <c r="N186" s="169"/>
      <c r="O186" s="161"/>
    </row>
    <row r="187" spans="1:15" x14ac:dyDescent="0.2">
      <c r="A187" s="161"/>
      <c r="B187" s="161"/>
      <c r="C187" s="168"/>
      <c r="D187" s="168"/>
      <c r="E187" s="168"/>
      <c r="F187" s="168"/>
      <c r="G187" s="168"/>
      <c r="H187" s="171"/>
      <c r="I187" s="171"/>
      <c r="J187" s="168"/>
      <c r="K187" s="168"/>
      <c r="L187" s="168"/>
      <c r="M187" s="168"/>
      <c r="N187" s="169"/>
      <c r="O187" s="161"/>
    </row>
    <row r="188" spans="1:15" x14ac:dyDescent="0.2">
      <c r="A188" s="161"/>
      <c r="B188" s="161"/>
      <c r="C188" s="168"/>
      <c r="D188" s="168"/>
      <c r="E188" s="168"/>
      <c r="F188" s="168"/>
      <c r="G188" s="168"/>
      <c r="H188" s="171"/>
      <c r="I188" s="171"/>
      <c r="J188" s="168"/>
      <c r="K188" s="168"/>
      <c r="L188" s="168"/>
      <c r="M188" s="168"/>
      <c r="N188" s="169"/>
      <c r="O188" s="161"/>
    </row>
    <row r="189" spans="1:15" x14ac:dyDescent="0.2">
      <c r="A189" s="161"/>
      <c r="B189" s="161"/>
      <c r="C189" s="168"/>
      <c r="D189" s="168"/>
      <c r="E189" s="168"/>
      <c r="F189" s="168"/>
      <c r="G189" s="168"/>
      <c r="H189" s="171"/>
      <c r="I189" s="171"/>
      <c r="J189" s="168"/>
      <c r="K189" s="168"/>
      <c r="L189" s="168"/>
      <c r="M189" s="168"/>
      <c r="N189" s="169"/>
      <c r="O189" s="161"/>
    </row>
    <row r="190" spans="1:15" x14ac:dyDescent="0.2">
      <c r="A190" s="161"/>
      <c r="B190" s="161"/>
      <c r="C190" s="168"/>
      <c r="D190" s="168"/>
      <c r="E190" s="168"/>
      <c r="F190" s="168"/>
      <c r="G190" s="168"/>
      <c r="H190" s="171"/>
      <c r="I190" s="171"/>
      <c r="J190" s="168"/>
      <c r="K190" s="168"/>
      <c r="L190" s="168"/>
      <c r="M190" s="168"/>
      <c r="N190" s="169"/>
      <c r="O190" s="161"/>
    </row>
    <row r="191" spans="1:15" x14ac:dyDescent="0.2">
      <c r="A191" s="161"/>
      <c r="B191" s="161"/>
      <c r="C191" s="168"/>
      <c r="D191" s="168"/>
      <c r="E191" s="168"/>
      <c r="F191" s="168"/>
      <c r="G191" s="168"/>
      <c r="H191" s="171"/>
      <c r="I191" s="171"/>
      <c r="J191" s="168"/>
      <c r="K191" s="168"/>
      <c r="L191" s="168"/>
      <c r="M191" s="168"/>
      <c r="N191" s="169"/>
      <c r="O191" s="161"/>
    </row>
    <row r="192" spans="1:15" x14ac:dyDescent="0.2">
      <c r="A192" s="161"/>
      <c r="B192" s="161"/>
      <c r="C192" s="168"/>
      <c r="D192" s="168"/>
      <c r="E192" s="168"/>
      <c r="F192" s="168"/>
      <c r="G192" s="168"/>
      <c r="H192" s="171"/>
      <c r="I192" s="171"/>
      <c r="J192" s="168"/>
      <c r="K192" s="168"/>
      <c r="L192" s="168"/>
      <c r="M192" s="168"/>
      <c r="N192" s="169"/>
      <c r="O192" s="161"/>
    </row>
    <row r="193" spans="1:15" x14ac:dyDescent="0.2">
      <c r="A193" s="161"/>
      <c r="B193" s="161"/>
      <c r="C193" s="168"/>
      <c r="D193" s="168"/>
      <c r="E193" s="168"/>
      <c r="F193" s="168"/>
      <c r="G193" s="168"/>
      <c r="H193" s="171"/>
      <c r="I193" s="171"/>
      <c r="J193" s="168"/>
      <c r="K193" s="168"/>
      <c r="L193" s="168"/>
      <c r="M193" s="168"/>
      <c r="N193" s="169"/>
      <c r="O193" s="161"/>
    </row>
    <row r="194" spans="1:15" x14ac:dyDescent="0.2">
      <c r="A194" s="161"/>
      <c r="B194" s="161"/>
      <c r="C194" s="168"/>
      <c r="D194" s="168"/>
      <c r="E194" s="168"/>
      <c r="F194" s="168"/>
      <c r="G194" s="168"/>
      <c r="H194" s="171"/>
      <c r="I194" s="171"/>
      <c r="J194" s="168"/>
      <c r="K194" s="168"/>
      <c r="L194" s="168"/>
      <c r="M194" s="168"/>
      <c r="N194" s="169"/>
      <c r="O194" s="161"/>
    </row>
    <row r="195" spans="1:15" x14ac:dyDescent="0.2">
      <c r="A195" s="161"/>
      <c r="B195" s="161"/>
      <c r="C195" s="168"/>
      <c r="D195" s="168"/>
      <c r="E195" s="168"/>
      <c r="F195" s="168"/>
      <c r="G195" s="168"/>
      <c r="H195" s="171"/>
      <c r="I195" s="171"/>
      <c r="J195" s="168"/>
      <c r="K195" s="168"/>
      <c r="L195" s="168"/>
      <c r="M195" s="168"/>
      <c r="N195" s="169"/>
      <c r="O195" s="161"/>
    </row>
    <row r="196" spans="1:15" x14ac:dyDescent="0.2">
      <c r="A196" s="161"/>
      <c r="B196" s="161"/>
      <c r="C196" s="168"/>
      <c r="D196" s="168"/>
      <c r="E196" s="168"/>
      <c r="F196" s="168"/>
      <c r="G196" s="168"/>
      <c r="H196" s="171"/>
      <c r="I196" s="171"/>
      <c r="J196" s="168"/>
      <c r="K196" s="168"/>
      <c r="L196" s="168"/>
      <c r="M196" s="168"/>
      <c r="N196" s="169"/>
      <c r="O196" s="161"/>
    </row>
    <row r="197" spans="1:15" x14ac:dyDescent="0.2">
      <c r="A197" s="161"/>
      <c r="B197" s="161"/>
      <c r="C197" s="168"/>
      <c r="D197" s="168"/>
      <c r="E197" s="168"/>
      <c r="F197" s="168"/>
      <c r="G197" s="168"/>
      <c r="H197" s="171"/>
      <c r="I197" s="171"/>
      <c r="J197" s="168"/>
      <c r="K197" s="168"/>
      <c r="L197" s="168"/>
      <c r="M197" s="168"/>
      <c r="N197" s="169"/>
      <c r="O197" s="161"/>
    </row>
    <row r="198" spans="1:15" x14ac:dyDescent="0.2">
      <c r="A198" s="161"/>
      <c r="B198" s="161"/>
      <c r="C198" s="168"/>
      <c r="D198" s="168"/>
      <c r="E198" s="168"/>
      <c r="F198" s="168"/>
      <c r="G198" s="168"/>
      <c r="H198" s="171"/>
      <c r="I198" s="171"/>
      <c r="J198" s="168"/>
      <c r="K198" s="168"/>
      <c r="L198" s="168"/>
      <c r="M198" s="168"/>
      <c r="N198" s="169"/>
      <c r="O198" s="161"/>
    </row>
    <row r="199" spans="1:15" x14ac:dyDescent="0.2">
      <c r="A199" s="161"/>
      <c r="B199" s="161"/>
      <c r="C199" s="168"/>
      <c r="D199" s="168"/>
      <c r="E199" s="168"/>
      <c r="F199" s="168"/>
      <c r="G199" s="168"/>
      <c r="H199" s="171"/>
      <c r="I199" s="171"/>
      <c r="J199" s="168"/>
      <c r="K199" s="168"/>
      <c r="L199" s="168"/>
      <c r="M199" s="168"/>
      <c r="N199" s="169"/>
      <c r="O199" s="161"/>
    </row>
    <row r="200" spans="1:15" x14ac:dyDescent="0.2">
      <c r="A200" s="161"/>
      <c r="B200" s="161"/>
      <c r="C200" s="168"/>
      <c r="D200" s="168"/>
      <c r="E200" s="168"/>
      <c r="F200" s="168"/>
      <c r="G200" s="168"/>
      <c r="H200" s="171"/>
      <c r="I200" s="171"/>
      <c r="J200" s="168"/>
      <c r="K200" s="168"/>
      <c r="L200" s="168"/>
      <c r="M200" s="168"/>
      <c r="N200" s="169"/>
      <c r="O200" s="161"/>
    </row>
    <row r="201" spans="1:15" x14ac:dyDescent="0.2">
      <c r="A201" s="161"/>
      <c r="B201" s="161"/>
      <c r="C201" s="168"/>
      <c r="D201" s="168"/>
      <c r="E201" s="168"/>
      <c r="F201" s="168"/>
      <c r="G201" s="168"/>
      <c r="H201" s="171"/>
      <c r="I201" s="171"/>
      <c r="J201" s="168"/>
      <c r="K201" s="168"/>
      <c r="L201" s="168"/>
      <c r="M201" s="168"/>
      <c r="N201" s="169"/>
      <c r="O201" s="161"/>
    </row>
    <row r="202" spans="1:15" x14ac:dyDescent="0.2">
      <c r="A202" s="161"/>
      <c r="B202" s="161"/>
      <c r="C202" s="168"/>
      <c r="D202" s="168"/>
      <c r="E202" s="168"/>
      <c r="F202" s="168"/>
      <c r="G202" s="168"/>
      <c r="H202" s="171"/>
      <c r="I202" s="171"/>
      <c r="J202" s="168"/>
      <c r="K202" s="168"/>
      <c r="L202" s="168"/>
      <c r="M202" s="168"/>
      <c r="N202" s="169"/>
      <c r="O202" s="161"/>
    </row>
    <row r="203" spans="1:15" x14ac:dyDescent="0.2">
      <c r="A203" s="161"/>
      <c r="B203" s="161"/>
      <c r="C203" s="168"/>
      <c r="D203" s="168"/>
      <c r="E203" s="168"/>
      <c r="F203" s="168"/>
      <c r="G203" s="168"/>
      <c r="H203" s="171"/>
      <c r="I203" s="171"/>
      <c r="J203" s="168"/>
      <c r="K203" s="168"/>
      <c r="L203" s="168"/>
      <c r="M203" s="168"/>
      <c r="N203" s="169"/>
      <c r="O203" s="161"/>
    </row>
    <row r="204" spans="1:15" x14ac:dyDescent="0.2">
      <c r="A204" s="161"/>
      <c r="B204" s="161"/>
      <c r="C204" s="168"/>
      <c r="D204" s="168"/>
      <c r="E204" s="168"/>
      <c r="F204" s="168"/>
      <c r="G204" s="168"/>
      <c r="H204" s="171"/>
      <c r="I204" s="171"/>
      <c r="J204" s="168"/>
      <c r="K204" s="168"/>
      <c r="L204" s="168"/>
      <c r="M204" s="168"/>
      <c r="N204" s="169"/>
      <c r="O204" s="161"/>
    </row>
    <row r="205" spans="1:15" x14ac:dyDescent="0.2">
      <c r="A205" s="161"/>
      <c r="B205" s="161"/>
      <c r="C205" s="168"/>
      <c r="D205" s="168"/>
      <c r="E205" s="168"/>
      <c r="F205" s="168"/>
      <c r="G205" s="168"/>
      <c r="H205" s="171"/>
      <c r="I205" s="171"/>
      <c r="J205" s="168"/>
      <c r="K205" s="168"/>
      <c r="L205" s="168"/>
      <c r="M205" s="168"/>
      <c r="N205" s="169"/>
      <c r="O205" s="161"/>
    </row>
    <row r="206" spans="1:15" x14ac:dyDescent="0.2">
      <c r="A206" s="161"/>
      <c r="B206" s="161"/>
      <c r="C206" s="168"/>
      <c r="D206" s="168"/>
      <c r="E206" s="168"/>
      <c r="F206" s="168"/>
      <c r="G206" s="168"/>
      <c r="H206" s="171"/>
      <c r="I206" s="171"/>
      <c r="J206" s="168"/>
      <c r="K206" s="168"/>
      <c r="L206" s="168"/>
      <c r="M206" s="168"/>
      <c r="N206" s="169"/>
      <c r="O206" s="161"/>
    </row>
    <row r="207" spans="1:15" x14ac:dyDescent="0.2">
      <c r="A207" s="161"/>
      <c r="B207" s="161"/>
      <c r="C207" s="168"/>
      <c r="D207" s="168"/>
      <c r="E207" s="168"/>
      <c r="F207" s="168"/>
      <c r="G207" s="168"/>
      <c r="H207" s="171"/>
      <c r="I207" s="171"/>
      <c r="J207" s="168"/>
      <c r="K207" s="168"/>
      <c r="L207" s="168"/>
      <c r="M207" s="168"/>
      <c r="N207" s="169"/>
      <c r="O207" s="161"/>
    </row>
    <row r="208" spans="1:15" x14ac:dyDescent="0.2">
      <c r="A208" s="161"/>
      <c r="B208" s="161"/>
      <c r="C208" s="168"/>
      <c r="D208" s="168"/>
      <c r="E208" s="168"/>
      <c r="F208" s="168"/>
      <c r="G208" s="168"/>
      <c r="H208" s="171"/>
      <c r="I208" s="171"/>
      <c r="J208" s="168"/>
      <c r="K208" s="168"/>
      <c r="L208" s="168"/>
      <c r="M208" s="168"/>
      <c r="N208" s="169"/>
      <c r="O208" s="161"/>
    </row>
    <row r="209" spans="1:15" x14ac:dyDescent="0.2">
      <c r="A209" s="161"/>
      <c r="B209" s="161"/>
      <c r="C209" s="168"/>
      <c r="D209" s="168"/>
      <c r="E209" s="168"/>
      <c r="F209" s="168"/>
      <c r="G209" s="168"/>
      <c r="H209" s="171"/>
      <c r="I209" s="171"/>
      <c r="J209" s="168"/>
      <c r="K209" s="168"/>
      <c r="L209" s="168"/>
      <c r="M209" s="168"/>
      <c r="N209" s="169"/>
      <c r="O209" s="161"/>
    </row>
    <row r="210" spans="1:15" x14ac:dyDescent="0.2">
      <c r="A210" s="161"/>
      <c r="B210" s="161"/>
      <c r="C210" s="168"/>
      <c r="D210" s="168"/>
      <c r="E210" s="168"/>
      <c r="F210" s="168"/>
      <c r="G210" s="168"/>
      <c r="H210" s="171"/>
      <c r="I210" s="171"/>
      <c r="J210" s="168"/>
      <c r="K210" s="168"/>
      <c r="L210" s="168"/>
      <c r="M210" s="168"/>
      <c r="N210" s="169"/>
      <c r="O210" s="161"/>
    </row>
    <row r="211" spans="1:15" x14ac:dyDescent="0.2">
      <c r="A211" s="161"/>
      <c r="B211" s="161"/>
      <c r="C211" s="168"/>
      <c r="D211" s="168"/>
      <c r="E211" s="168"/>
      <c r="F211" s="168"/>
      <c r="G211" s="168"/>
      <c r="H211" s="171"/>
      <c r="I211" s="171"/>
      <c r="J211" s="168"/>
      <c r="K211" s="168"/>
      <c r="L211" s="168"/>
      <c r="M211" s="168"/>
      <c r="N211" s="169"/>
      <c r="O211" s="161"/>
    </row>
    <row r="212" spans="1:15" x14ac:dyDescent="0.2">
      <c r="A212" s="161"/>
      <c r="B212" s="161"/>
      <c r="C212" s="168"/>
      <c r="D212" s="168"/>
      <c r="E212" s="168"/>
      <c r="F212" s="168"/>
      <c r="G212" s="168"/>
      <c r="H212" s="171"/>
      <c r="I212" s="171"/>
      <c r="J212" s="168"/>
      <c r="K212" s="168"/>
      <c r="L212" s="168"/>
      <c r="M212" s="168"/>
      <c r="N212" s="169"/>
      <c r="O212" s="161"/>
    </row>
    <row r="213" spans="1:15" x14ac:dyDescent="0.2">
      <c r="A213" s="161"/>
      <c r="B213" s="161"/>
      <c r="C213" s="168"/>
      <c r="D213" s="168"/>
      <c r="E213" s="168"/>
      <c r="F213" s="168"/>
      <c r="G213" s="168"/>
      <c r="H213" s="171"/>
      <c r="I213" s="171"/>
      <c r="J213" s="168"/>
      <c r="K213" s="168"/>
      <c r="L213" s="168"/>
      <c r="M213" s="168"/>
      <c r="N213" s="169"/>
      <c r="O213" s="161"/>
    </row>
    <row r="214" spans="1:15" x14ac:dyDescent="0.2">
      <c r="A214" s="161"/>
      <c r="B214" s="161"/>
      <c r="C214" s="168"/>
      <c r="D214" s="168"/>
      <c r="E214" s="168"/>
      <c r="F214" s="168"/>
      <c r="G214" s="168"/>
      <c r="H214" s="171"/>
      <c r="I214" s="171"/>
      <c r="J214" s="168"/>
      <c r="K214" s="168"/>
      <c r="L214" s="168"/>
      <c r="M214" s="168"/>
      <c r="N214" s="169"/>
      <c r="O214" s="161"/>
    </row>
    <row r="215" spans="1:15" x14ac:dyDescent="0.2">
      <c r="A215" s="161"/>
      <c r="B215" s="161"/>
      <c r="C215" s="168"/>
      <c r="D215" s="168"/>
      <c r="E215" s="168"/>
      <c r="F215" s="168"/>
      <c r="G215" s="168"/>
      <c r="H215" s="171"/>
      <c r="I215" s="171"/>
      <c r="J215" s="168"/>
      <c r="K215" s="168"/>
      <c r="L215" s="168"/>
      <c r="M215" s="168"/>
      <c r="N215" s="169"/>
      <c r="O215" s="161"/>
    </row>
    <row r="216" spans="1:15" x14ac:dyDescent="0.2">
      <c r="A216" s="161"/>
      <c r="B216" s="161"/>
      <c r="C216" s="168"/>
      <c r="D216" s="168"/>
      <c r="E216" s="168"/>
      <c r="F216" s="168"/>
      <c r="G216" s="168"/>
      <c r="H216" s="171"/>
      <c r="I216" s="171"/>
      <c r="J216" s="168"/>
      <c r="K216" s="168"/>
      <c r="L216" s="168"/>
      <c r="M216" s="168"/>
      <c r="N216" s="169"/>
      <c r="O216" s="161"/>
    </row>
    <row r="217" spans="1:15" x14ac:dyDescent="0.2">
      <c r="A217" s="161"/>
      <c r="B217" s="161"/>
      <c r="C217" s="168"/>
      <c r="D217" s="168"/>
      <c r="E217" s="168"/>
      <c r="F217" s="168"/>
      <c r="G217" s="168"/>
      <c r="H217" s="171"/>
      <c r="I217" s="171"/>
      <c r="J217" s="168"/>
      <c r="K217" s="168"/>
      <c r="L217" s="168"/>
      <c r="M217" s="168"/>
      <c r="N217" s="169"/>
      <c r="O217" s="161"/>
    </row>
    <row r="218" spans="1:15" x14ac:dyDescent="0.2">
      <c r="A218" s="161"/>
      <c r="B218" s="161"/>
      <c r="C218" s="168"/>
      <c r="D218" s="168"/>
      <c r="E218" s="168"/>
      <c r="F218" s="168"/>
      <c r="G218" s="168"/>
      <c r="H218" s="171"/>
      <c r="I218" s="171"/>
      <c r="J218" s="168"/>
      <c r="K218" s="168"/>
      <c r="L218" s="168"/>
      <c r="M218" s="168"/>
      <c r="N218" s="169"/>
      <c r="O218" s="161"/>
    </row>
    <row r="219" spans="1:15" x14ac:dyDescent="0.2">
      <c r="A219" s="161"/>
      <c r="B219" s="161"/>
      <c r="C219" s="168"/>
      <c r="D219" s="168"/>
      <c r="E219" s="168"/>
      <c r="F219" s="168"/>
      <c r="G219" s="168"/>
      <c r="H219" s="171"/>
      <c r="I219" s="171"/>
      <c r="J219" s="168"/>
      <c r="K219" s="168"/>
      <c r="L219" s="168"/>
      <c r="M219" s="168"/>
      <c r="N219" s="169"/>
      <c r="O219" s="161"/>
    </row>
    <row r="220" spans="1:15" x14ac:dyDescent="0.2">
      <c r="A220" s="161"/>
      <c r="B220" s="161"/>
      <c r="C220" s="168"/>
      <c r="D220" s="168"/>
      <c r="E220" s="168"/>
      <c r="F220" s="168"/>
      <c r="G220" s="168"/>
      <c r="H220" s="171"/>
      <c r="I220" s="171"/>
      <c r="J220" s="168"/>
      <c r="K220" s="168"/>
      <c r="L220" s="168"/>
      <c r="M220" s="168"/>
      <c r="N220" s="169"/>
      <c r="O220" s="161"/>
    </row>
    <row r="221" spans="1:15" x14ac:dyDescent="0.2">
      <c r="A221" s="161"/>
      <c r="B221" s="161"/>
      <c r="C221" s="168"/>
      <c r="D221" s="168"/>
      <c r="E221" s="168"/>
      <c r="F221" s="168"/>
      <c r="G221" s="168"/>
      <c r="H221" s="171"/>
      <c r="I221" s="171"/>
      <c r="J221" s="168"/>
      <c r="K221" s="168"/>
      <c r="L221" s="168"/>
      <c r="M221" s="168"/>
      <c r="N221" s="169"/>
      <c r="O221" s="161"/>
    </row>
    <row r="222" spans="1:15" x14ac:dyDescent="0.2">
      <c r="A222" s="161"/>
      <c r="B222" s="161"/>
      <c r="C222" s="168"/>
      <c r="D222" s="168"/>
      <c r="E222" s="168"/>
      <c r="F222" s="168"/>
      <c r="G222" s="168"/>
      <c r="H222" s="171"/>
      <c r="I222" s="171"/>
      <c r="J222" s="168"/>
      <c r="K222" s="168"/>
      <c r="L222" s="168"/>
      <c r="M222" s="168"/>
      <c r="N222" s="169"/>
      <c r="O222" s="161"/>
    </row>
    <row r="223" spans="1:15" x14ac:dyDescent="0.2">
      <c r="A223" s="161"/>
      <c r="B223" s="161"/>
      <c r="C223" s="168"/>
      <c r="D223" s="168"/>
      <c r="E223" s="168"/>
      <c r="F223" s="168"/>
      <c r="G223" s="168"/>
      <c r="H223" s="171"/>
      <c r="I223" s="171"/>
      <c r="J223" s="168"/>
      <c r="K223" s="168"/>
      <c r="L223" s="168"/>
      <c r="M223" s="168"/>
      <c r="N223" s="169"/>
      <c r="O223" s="161"/>
    </row>
    <row r="224" spans="1:15" x14ac:dyDescent="0.2">
      <c r="A224" s="161"/>
      <c r="B224" s="161"/>
      <c r="C224" s="168"/>
      <c r="D224" s="168"/>
      <c r="E224" s="168"/>
      <c r="F224" s="168"/>
      <c r="G224" s="168"/>
      <c r="H224" s="171"/>
      <c r="I224" s="171"/>
      <c r="J224" s="168"/>
      <c r="K224" s="168"/>
      <c r="L224" s="168"/>
      <c r="M224" s="168"/>
      <c r="N224" s="169"/>
      <c r="O224" s="161"/>
    </row>
    <row r="225" spans="1:15" x14ac:dyDescent="0.2">
      <c r="A225" s="161"/>
      <c r="B225" s="161"/>
      <c r="C225" s="168"/>
      <c r="D225" s="168"/>
      <c r="E225" s="168"/>
      <c r="F225" s="168"/>
      <c r="G225" s="168"/>
      <c r="H225" s="171"/>
      <c r="I225" s="171"/>
      <c r="J225" s="168"/>
      <c r="K225" s="168"/>
      <c r="L225" s="168"/>
      <c r="M225" s="168"/>
      <c r="N225" s="169"/>
      <c r="O225" s="161"/>
    </row>
    <row r="226" spans="1:15" x14ac:dyDescent="0.2">
      <c r="A226" s="161"/>
      <c r="B226" s="161"/>
      <c r="C226" s="168"/>
      <c r="D226" s="168"/>
      <c r="E226" s="168"/>
      <c r="F226" s="168"/>
      <c r="G226" s="168"/>
      <c r="H226" s="171"/>
      <c r="I226" s="171"/>
      <c r="J226" s="168"/>
      <c r="K226" s="168"/>
      <c r="L226" s="168"/>
      <c r="M226" s="168"/>
      <c r="N226" s="169"/>
      <c r="O226" s="161"/>
    </row>
    <row r="227" spans="1:15" x14ac:dyDescent="0.2">
      <c r="A227" s="161"/>
      <c r="B227" s="161"/>
      <c r="C227" s="168"/>
      <c r="D227" s="168"/>
      <c r="E227" s="168"/>
      <c r="F227" s="168"/>
      <c r="G227" s="168"/>
      <c r="H227" s="171"/>
      <c r="I227" s="171"/>
      <c r="J227" s="168"/>
      <c r="K227" s="168"/>
      <c r="L227" s="168"/>
      <c r="M227" s="168"/>
      <c r="N227" s="169"/>
      <c r="O227" s="161"/>
    </row>
    <row r="228" spans="1:15" x14ac:dyDescent="0.2">
      <c r="A228" s="161"/>
      <c r="B228" s="161"/>
      <c r="C228" s="168"/>
      <c r="D228" s="168"/>
      <c r="E228" s="168"/>
      <c r="F228" s="168"/>
      <c r="G228" s="168"/>
      <c r="H228" s="171"/>
      <c r="I228" s="171"/>
      <c r="J228" s="168"/>
      <c r="K228" s="168"/>
      <c r="L228" s="168"/>
      <c r="M228" s="168"/>
      <c r="N228" s="169"/>
      <c r="O228" s="161"/>
    </row>
    <row r="229" spans="1:15" x14ac:dyDescent="0.2">
      <c r="A229" s="161"/>
      <c r="B229" s="161"/>
      <c r="C229" s="168"/>
      <c r="D229" s="168"/>
      <c r="E229" s="168"/>
      <c r="F229" s="168"/>
      <c r="G229" s="168"/>
      <c r="H229" s="171"/>
      <c r="I229" s="171"/>
      <c r="J229" s="168"/>
      <c r="K229" s="168"/>
      <c r="L229" s="168"/>
      <c r="M229" s="168"/>
      <c r="N229" s="169"/>
      <c r="O229" s="161"/>
    </row>
    <row r="230" spans="1:15" x14ac:dyDescent="0.2">
      <c r="A230" s="161"/>
      <c r="B230" s="161"/>
      <c r="C230" s="168"/>
      <c r="D230" s="168"/>
      <c r="E230" s="168"/>
      <c r="F230" s="168"/>
      <c r="G230" s="168"/>
      <c r="H230" s="171"/>
      <c r="I230" s="171"/>
      <c r="J230" s="168"/>
      <c r="K230" s="168"/>
      <c r="L230" s="168"/>
      <c r="M230" s="168"/>
      <c r="N230" s="169"/>
      <c r="O230" s="161"/>
    </row>
    <row r="231" spans="1:15" x14ac:dyDescent="0.2">
      <c r="A231" s="161"/>
      <c r="B231" s="161"/>
      <c r="C231" s="168"/>
      <c r="D231" s="168"/>
      <c r="E231" s="168"/>
      <c r="F231" s="168"/>
      <c r="G231" s="168"/>
      <c r="H231" s="171"/>
      <c r="I231" s="171"/>
      <c r="J231" s="168"/>
      <c r="K231" s="168"/>
      <c r="L231" s="168"/>
      <c r="M231" s="168"/>
      <c r="N231" s="169"/>
      <c r="O231" s="161"/>
    </row>
    <row r="232" spans="1:15" x14ac:dyDescent="0.2">
      <c r="A232" s="161"/>
      <c r="B232" s="161"/>
      <c r="C232" s="168"/>
      <c r="D232" s="168"/>
      <c r="E232" s="168"/>
      <c r="F232" s="168"/>
      <c r="G232" s="168"/>
      <c r="H232" s="171"/>
      <c r="I232" s="171"/>
      <c r="J232" s="168"/>
      <c r="K232" s="168"/>
      <c r="L232" s="168"/>
      <c r="M232" s="168"/>
      <c r="N232" s="169"/>
      <c r="O232" s="161"/>
    </row>
    <row r="233" spans="1:15" x14ac:dyDescent="0.2">
      <c r="A233" s="161"/>
      <c r="B233" s="161"/>
      <c r="C233" s="168"/>
      <c r="D233" s="168"/>
      <c r="E233" s="168"/>
      <c r="F233" s="168"/>
      <c r="G233" s="168"/>
      <c r="H233" s="171"/>
      <c r="I233" s="171"/>
      <c r="J233" s="168"/>
      <c r="K233" s="168"/>
      <c r="L233" s="168"/>
      <c r="M233" s="168"/>
      <c r="N233" s="169"/>
      <c r="O233" s="161"/>
    </row>
    <row r="234" spans="1:15" x14ac:dyDescent="0.2">
      <c r="A234" s="161"/>
      <c r="B234" s="161"/>
      <c r="C234" s="168"/>
      <c r="D234" s="168"/>
      <c r="E234" s="168"/>
      <c r="F234" s="168"/>
      <c r="G234" s="168"/>
      <c r="H234" s="171"/>
      <c r="I234" s="171"/>
      <c r="J234" s="168"/>
      <c r="K234" s="168"/>
      <c r="L234" s="168"/>
      <c r="M234" s="168"/>
      <c r="N234" s="169"/>
      <c r="O234" s="161"/>
    </row>
    <row r="235" spans="1:15" x14ac:dyDescent="0.2">
      <c r="A235" s="161"/>
      <c r="B235" s="161"/>
      <c r="C235" s="168"/>
      <c r="D235" s="168"/>
      <c r="E235" s="168"/>
      <c r="F235" s="168"/>
      <c r="G235" s="168"/>
      <c r="H235" s="171"/>
      <c r="I235" s="171"/>
      <c r="J235" s="168"/>
      <c r="K235" s="168"/>
      <c r="L235" s="168"/>
      <c r="M235" s="168"/>
      <c r="N235" s="169"/>
      <c r="O235" s="161"/>
    </row>
    <row r="236" spans="1:15" x14ac:dyDescent="0.2">
      <c r="A236" s="161"/>
      <c r="B236" s="161"/>
      <c r="C236" s="168"/>
      <c r="D236" s="168"/>
      <c r="E236" s="168"/>
      <c r="F236" s="168"/>
      <c r="G236" s="168"/>
      <c r="H236" s="171"/>
      <c r="I236" s="171"/>
      <c r="J236" s="168"/>
      <c r="K236" s="168"/>
      <c r="L236" s="168"/>
      <c r="M236" s="168"/>
      <c r="N236" s="169"/>
      <c r="O236" s="161"/>
    </row>
    <row r="237" spans="1:15" x14ac:dyDescent="0.2">
      <c r="A237" s="161"/>
      <c r="B237" s="161"/>
      <c r="C237" s="168"/>
      <c r="D237" s="168"/>
      <c r="E237" s="168"/>
      <c r="F237" s="168"/>
      <c r="G237" s="168"/>
      <c r="H237" s="171"/>
      <c r="I237" s="171"/>
      <c r="J237" s="168"/>
      <c r="K237" s="168"/>
      <c r="L237" s="168"/>
      <c r="M237" s="168"/>
      <c r="N237" s="169"/>
      <c r="O237" s="161"/>
    </row>
    <row r="238" spans="1:15" x14ac:dyDescent="0.2">
      <c r="A238" s="161"/>
      <c r="B238" s="161"/>
      <c r="C238" s="168"/>
      <c r="D238" s="168"/>
      <c r="E238" s="168"/>
      <c r="F238" s="168"/>
      <c r="G238" s="168"/>
      <c r="H238" s="171"/>
      <c r="I238" s="171"/>
      <c r="J238" s="168"/>
      <c r="K238" s="168"/>
      <c r="L238" s="168"/>
      <c r="M238" s="168"/>
      <c r="N238" s="169"/>
      <c r="O238" s="161"/>
    </row>
    <row r="239" spans="1:15" x14ac:dyDescent="0.2">
      <c r="A239" s="161"/>
      <c r="B239" s="161"/>
      <c r="C239" s="168"/>
      <c r="D239" s="168"/>
      <c r="E239" s="168"/>
      <c r="F239" s="168"/>
      <c r="G239" s="168"/>
      <c r="H239" s="171"/>
      <c r="I239" s="171"/>
      <c r="J239" s="168"/>
      <c r="K239" s="168"/>
      <c r="L239" s="168"/>
      <c r="M239" s="168"/>
      <c r="N239" s="169"/>
      <c r="O239" s="161"/>
    </row>
    <row r="240" spans="1:15" x14ac:dyDescent="0.2">
      <c r="A240" s="161"/>
      <c r="B240" s="161"/>
      <c r="C240" s="168"/>
      <c r="D240" s="168"/>
      <c r="E240" s="168"/>
      <c r="F240" s="168"/>
      <c r="G240" s="168"/>
      <c r="H240" s="171"/>
      <c r="I240" s="171"/>
      <c r="J240" s="168"/>
      <c r="K240" s="168"/>
      <c r="L240" s="168"/>
      <c r="M240" s="168"/>
      <c r="N240" s="169"/>
      <c r="O240" s="161"/>
    </row>
    <row r="241" spans="1:15" x14ac:dyDescent="0.2">
      <c r="A241" s="161"/>
      <c r="B241" s="161"/>
      <c r="C241" s="168"/>
      <c r="D241" s="168"/>
      <c r="E241" s="168"/>
      <c r="F241" s="168"/>
      <c r="G241" s="168"/>
      <c r="H241" s="171"/>
      <c r="I241" s="171"/>
      <c r="J241" s="168"/>
      <c r="K241" s="168"/>
      <c r="L241" s="168"/>
      <c r="M241" s="168"/>
      <c r="N241" s="169"/>
      <c r="O241" s="161"/>
    </row>
    <row r="242" spans="1:15" x14ac:dyDescent="0.2">
      <c r="A242" s="161"/>
      <c r="B242" s="161"/>
      <c r="C242" s="168"/>
      <c r="D242" s="168"/>
      <c r="E242" s="168"/>
      <c r="F242" s="168"/>
      <c r="G242" s="168"/>
      <c r="H242" s="171"/>
      <c r="I242" s="171"/>
      <c r="J242" s="168"/>
      <c r="K242" s="168"/>
      <c r="L242" s="168"/>
      <c r="M242" s="168"/>
      <c r="N242" s="169"/>
      <c r="O242" s="161"/>
    </row>
    <row r="243" spans="1:15" x14ac:dyDescent="0.2">
      <c r="A243" s="161"/>
      <c r="B243" s="161"/>
      <c r="C243" s="168"/>
      <c r="D243" s="168"/>
      <c r="E243" s="168"/>
      <c r="F243" s="168"/>
      <c r="G243" s="168"/>
      <c r="H243" s="171"/>
      <c r="I243" s="171"/>
      <c r="J243" s="168"/>
      <c r="K243" s="168"/>
      <c r="L243" s="168"/>
      <c r="M243" s="168"/>
      <c r="N243" s="169"/>
      <c r="O243" s="161"/>
    </row>
    <row r="244" spans="1:15" x14ac:dyDescent="0.2">
      <c r="A244" s="161"/>
      <c r="B244" s="161"/>
      <c r="C244" s="168"/>
      <c r="D244" s="168"/>
      <c r="E244" s="168"/>
      <c r="F244" s="168"/>
      <c r="G244" s="168"/>
      <c r="H244" s="171"/>
      <c r="I244" s="171"/>
      <c r="J244" s="168"/>
      <c r="K244" s="168"/>
      <c r="L244" s="168"/>
      <c r="M244" s="168"/>
      <c r="N244" s="169"/>
      <c r="O244" s="161"/>
    </row>
    <row r="245" spans="1:15" x14ac:dyDescent="0.2">
      <c r="A245" s="161"/>
      <c r="B245" s="161"/>
      <c r="C245" s="168"/>
      <c r="D245" s="168"/>
      <c r="E245" s="168"/>
      <c r="F245" s="168"/>
      <c r="G245" s="168"/>
      <c r="H245" s="171"/>
      <c r="I245" s="171"/>
      <c r="J245" s="168"/>
      <c r="K245" s="168"/>
      <c r="L245" s="168"/>
      <c r="M245" s="168"/>
      <c r="N245" s="169"/>
      <c r="O245" s="161"/>
    </row>
    <row r="246" spans="1:15" x14ac:dyDescent="0.2">
      <c r="A246" s="161"/>
      <c r="B246" s="161"/>
      <c r="C246" s="168"/>
      <c r="D246" s="168"/>
      <c r="E246" s="168"/>
      <c r="F246" s="168"/>
      <c r="G246" s="168"/>
      <c r="H246" s="171"/>
      <c r="I246" s="171"/>
      <c r="J246" s="168"/>
      <c r="K246" s="168"/>
      <c r="L246" s="168"/>
      <c r="M246" s="168"/>
      <c r="N246" s="169"/>
      <c r="O246" s="161"/>
    </row>
    <row r="247" spans="1:15" x14ac:dyDescent="0.2">
      <c r="A247" s="161"/>
      <c r="B247" s="161"/>
      <c r="C247" s="168"/>
      <c r="D247" s="168"/>
      <c r="E247" s="168"/>
      <c r="F247" s="168"/>
      <c r="G247" s="168"/>
      <c r="H247" s="171"/>
      <c r="I247" s="171"/>
      <c r="J247" s="168"/>
      <c r="K247" s="168"/>
      <c r="L247" s="168"/>
      <c r="M247" s="168"/>
      <c r="N247" s="169"/>
      <c r="O247" s="161"/>
    </row>
    <row r="248" spans="1:15" x14ac:dyDescent="0.2">
      <c r="A248" s="161"/>
      <c r="B248" s="161"/>
      <c r="C248" s="168"/>
      <c r="D248" s="168"/>
      <c r="E248" s="168"/>
      <c r="F248" s="168"/>
      <c r="G248" s="168"/>
      <c r="H248" s="171"/>
      <c r="I248" s="171"/>
      <c r="J248" s="168"/>
      <c r="K248" s="168"/>
      <c r="L248" s="168"/>
      <c r="M248" s="168"/>
      <c r="N248" s="169"/>
      <c r="O248" s="161"/>
    </row>
    <row r="249" spans="1:15" x14ac:dyDescent="0.2">
      <c r="A249" s="161"/>
      <c r="B249" s="161"/>
      <c r="C249" s="168"/>
      <c r="D249" s="168"/>
      <c r="E249" s="168"/>
      <c r="F249" s="168"/>
      <c r="G249" s="168"/>
      <c r="H249" s="171"/>
      <c r="I249" s="171"/>
      <c r="J249" s="168"/>
      <c r="K249" s="168"/>
      <c r="L249" s="168"/>
      <c r="M249" s="168"/>
      <c r="N249" s="169"/>
      <c r="O249" s="161"/>
    </row>
    <row r="250" spans="1:15" x14ac:dyDescent="0.2">
      <c r="A250" s="161"/>
      <c r="B250" s="161"/>
      <c r="C250" s="168"/>
      <c r="D250" s="168"/>
      <c r="E250" s="168"/>
      <c r="F250" s="168"/>
      <c r="G250" s="168"/>
      <c r="H250" s="171"/>
      <c r="I250" s="171"/>
      <c r="J250" s="168"/>
      <c r="K250" s="168"/>
      <c r="L250" s="168"/>
      <c r="M250" s="168"/>
      <c r="N250" s="169"/>
      <c r="O250" s="161"/>
    </row>
    <row r="251" spans="1:15" x14ac:dyDescent="0.2">
      <c r="A251" s="161"/>
      <c r="B251" s="161"/>
      <c r="C251" s="168"/>
      <c r="D251" s="168"/>
      <c r="E251" s="168"/>
      <c r="F251" s="168"/>
      <c r="G251" s="168"/>
      <c r="H251" s="171"/>
      <c r="I251" s="171"/>
      <c r="J251" s="168"/>
      <c r="K251" s="168"/>
      <c r="L251" s="168"/>
      <c r="M251" s="168"/>
      <c r="N251" s="169"/>
      <c r="O251" s="161"/>
    </row>
    <row r="252" spans="1:15" x14ac:dyDescent="0.2">
      <c r="A252" s="161"/>
      <c r="B252" s="161"/>
      <c r="C252" s="168"/>
      <c r="D252" s="168"/>
      <c r="E252" s="168"/>
      <c r="F252" s="168"/>
      <c r="G252" s="168"/>
      <c r="H252" s="171"/>
      <c r="I252" s="171"/>
      <c r="J252" s="168"/>
      <c r="K252" s="168"/>
      <c r="L252" s="168"/>
      <c r="M252" s="168"/>
      <c r="N252" s="169"/>
      <c r="O252" s="161"/>
    </row>
    <row r="253" spans="1:15" x14ac:dyDescent="0.2">
      <c r="A253" s="161"/>
      <c r="B253" s="161"/>
      <c r="C253" s="168"/>
      <c r="D253" s="168"/>
      <c r="E253" s="168"/>
      <c r="F253" s="168"/>
      <c r="G253" s="168"/>
      <c r="H253" s="171"/>
      <c r="I253" s="171"/>
      <c r="J253" s="168"/>
      <c r="K253" s="168"/>
      <c r="L253" s="168"/>
      <c r="M253" s="168"/>
      <c r="N253" s="169"/>
      <c r="O253" s="161"/>
    </row>
    <row r="254" spans="1:15" x14ac:dyDescent="0.2">
      <c r="A254" s="161"/>
      <c r="B254" s="161"/>
      <c r="C254" s="168"/>
      <c r="D254" s="168"/>
      <c r="E254" s="168"/>
      <c r="F254" s="168"/>
      <c r="G254" s="168"/>
      <c r="H254" s="171"/>
      <c r="I254" s="171"/>
      <c r="J254" s="168"/>
      <c r="K254" s="168"/>
      <c r="L254" s="168"/>
      <c r="M254" s="168"/>
      <c r="N254" s="169"/>
      <c r="O254" s="161"/>
    </row>
    <row r="255" spans="1:15" x14ac:dyDescent="0.2">
      <c r="A255" s="161"/>
      <c r="B255" s="161"/>
      <c r="C255" s="168"/>
      <c r="D255" s="168"/>
      <c r="E255" s="168"/>
      <c r="F255" s="168"/>
      <c r="G255" s="168"/>
      <c r="H255" s="171"/>
      <c r="I255" s="171"/>
      <c r="J255" s="168"/>
      <c r="K255" s="168"/>
      <c r="L255" s="168"/>
      <c r="M255" s="168"/>
      <c r="N255" s="169"/>
      <c r="O255" s="161"/>
    </row>
    <row r="256" spans="1:15" x14ac:dyDescent="0.2">
      <c r="A256" s="161"/>
      <c r="B256" s="161"/>
      <c r="C256" s="168"/>
      <c r="D256" s="168"/>
      <c r="E256" s="168"/>
      <c r="F256" s="168"/>
      <c r="G256" s="168"/>
      <c r="H256" s="171"/>
      <c r="I256" s="171"/>
      <c r="J256" s="168"/>
      <c r="K256" s="168"/>
      <c r="L256" s="168"/>
      <c r="M256" s="168"/>
      <c r="N256" s="169"/>
      <c r="O256" s="161"/>
    </row>
    <row r="257" spans="1:15" x14ac:dyDescent="0.2">
      <c r="A257" s="161"/>
      <c r="B257" s="161"/>
      <c r="C257" s="168"/>
      <c r="D257" s="168"/>
      <c r="E257" s="168"/>
      <c r="F257" s="168"/>
      <c r="G257" s="168"/>
      <c r="H257" s="171"/>
      <c r="I257" s="171"/>
      <c r="J257" s="168"/>
      <c r="K257" s="168"/>
      <c r="L257" s="168"/>
      <c r="M257" s="168"/>
      <c r="N257" s="169"/>
      <c r="O257" s="161"/>
    </row>
    <row r="258" spans="1:15" x14ac:dyDescent="0.2">
      <c r="A258" s="161"/>
      <c r="B258" s="161"/>
      <c r="C258" s="168"/>
      <c r="D258" s="168"/>
      <c r="E258" s="168"/>
      <c r="F258" s="168"/>
      <c r="G258" s="168"/>
      <c r="H258" s="171"/>
      <c r="I258" s="171"/>
      <c r="J258" s="168"/>
      <c r="K258" s="168"/>
      <c r="L258" s="168"/>
      <c r="M258" s="168"/>
      <c r="N258" s="169"/>
      <c r="O258" s="161"/>
    </row>
    <row r="259" spans="1:15" x14ac:dyDescent="0.2">
      <c r="A259" s="161"/>
      <c r="B259" s="161"/>
      <c r="C259" s="168"/>
      <c r="D259" s="168"/>
      <c r="E259" s="168"/>
      <c r="F259" s="168"/>
      <c r="G259" s="168"/>
      <c r="H259" s="171"/>
      <c r="I259" s="171"/>
      <c r="J259" s="168"/>
      <c r="K259" s="168"/>
      <c r="L259" s="168"/>
      <c r="M259" s="168"/>
      <c r="N259" s="169"/>
      <c r="O259" s="161"/>
    </row>
    <row r="260" spans="1:15" x14ac:dyDescent="0.2">
      <c r="A260" s="161"/>
      <c r="B260" s="161"/>
      <c r="C260" s="168"/>
      <c r="D260" s="168"/>
      <c r="E260" s="168"/>
      <c r="F260" s="168"/>
      <c r="G260" s="168"/>
      <c r="H260" s="171"/>
      <c r="I260" s="171"/>
      <c r="J260" s="168"/>
      <c r="K260" s="168"/>
      <c r="L260" s="168"/>
      <c r="M260" s="168"/>
      <c r="N260" s="169"/>
      <c r="O260" s="161"/>
    </row>
    <row r="261" spans="1:15" x14ac:dyDescent="0.2">
      <c r="A261" s="161"/>
      <c r="B261" s="161"/>
      <c r="C261" s="168"/>
      <c r="D261" s="168"/>
      <c r="E261" s="168"/>
      <c r="F261" s="168"/>
      <c r="G261" s="168"/>
      <c r="H261" s="171"/>
      <c r="I261" s="171"/>
      <c r="J261" s="168"/>
      <c r="K261" s="168"/>
      <c r="L261" s="168"/>
      <c r="M261" s="168"/>
      <c r="N261" s="169"/>
      <c r="O261" s="161"/>
    </row>
    <row r="262" spans="1:15" x14ac:dyDescent="0.2">
      <c r="A262" s="161"/>
      <c r="B262" s="161"/>
      <c r="C262" s="168"/>
      <c r="D262" s="168"/>
      <c r="E262" s="168"/>
      <c r="F262" s="168"/>
      <c r="G262" s="168"/>
      <c r="H262" s="171"/>
      <c r="I262" s="171"/>
      <c r="J262" s="168"/>
      <c r="K262" s="168"/>
      <c r="L262" s="168"/>
      <c r="M262" s="168"/>
      <c r="N262" s="169"/>
      <c r="O262" s="161"/>
    </row>
    <row r="263" spans="1:15" x14ac:dyDescent="0.2">
      <c r="A263" s="161"/>
      <c r="B263" s="161"/>
      <c r="C263" s="168"/>
      <c r="D263" s="168"/>
      <c r="E263" s="168"/>
      <c r="F263" s="168"/>
      <c r="G263" s="168"/>
      <c r="H263" s="171"/>
      <c r="I263" s="171"/>
      <c r="J263" s="168"/>
      <c r="K263" s="168"/>
      <c r="L263" s="168"/>
      <c r="M263" s="168"/>
      <c r="N263" s="169"/>
      <c r="O263" s="161"/>
    </row>
    <row r="264" spans="1:15" x14ac:dyDescent="0.2">
      <c r="A264" s="161"/>
      <c r="B264" s="161"/>
      <c r="C264" s="168"/>
      <c r="D264" s="168"/>
      <c r="E264" s="168"/>
      <c r="F264" s="168"/>
      <c r="G264" s="168"/>
      <c r="H264" s="171"/>
      <c r="I264" s="171"/>
      <c r="J264" s="168"/>
      <c r="K264" s="168"/>
      <c r="L264" s="168"/>
      <c r="M264" s="168"/>
      <c r="N264" s="169"/>
      <c r="O264" s="161"/>
    </row>
    <row r="265" spans="1:15" x14ac:dyDescent="0.2">
      <c r="A265" s="161"/>
      <c r="B265" s="161"/>
      <c r="C265" s="168"/>
      <c r="D265" s="168"/>
      <c r="E265" s="168"/>
      <c r="F265" s="168"/>
      <c r="G265" s="168"/>
      <c r="H265" s="171"/>
      <c r="I265" s="171"/>
      <c r="J265" s="168"/>
      <c r="K265" s="168"/>
      <c r="L265" s="168"/>
      <c r="M265" s="168"/>
      <c r="N265" s="169"/>
      <c r="O265" s="161"/>
    </row>
    <row r="266" spans="1:15" x14ac:dyDescent="0.2">
      <c r="A266" s="161"/>
      <c r="B266" s="161"/>
      <c r="C266" s="168"/>
      <c r="D266" s="168"/>
      <c r="E266" s="168"/>
      <c r="F266" s="168"/>
      <c r="G266" s="168"/>
      <c r="H266" s="171"/>
      <c r="I266" s="171"/>
      <c r="J266" s="168"/>
      <c r="K266" s="168"/>
      <c r="L266" s="168"/>
      <c r="M266" s="168"/>
      <c r="N266" s="169"/>
      <c r="O266" s="161"/>
    </row>
    <row r="267" spans="1:15" x14ac:dyDescent="0.2">
      <c r="A267" s="161"/>
      <c r="B267" s="161"/>
      <c r="C267" s="168"/>
      <c r="D267" s="168"/>
      <c r="E267" s="168"/>
      <c r="F267" s="168"/>
      <c r="G267" s="168"/>
      <c r="H267" s="171"/>
      <c r="I267" s="171"/>
      <c r="J267" s="168"/>
      <c r="K267" s="168"/>
      <c r="L267" s="168"/>
      <c r="M267" s="168"/>
      <c r="N267" s="169"/>
      <c r="O267" s="161"/>
    </row>
    <row r="268" spans="1:15" x14ac:dyDescent="0.2">
      <c r="A268" s="161"/>
      <c r="B268" s="161"/>
      <c r="C268" s="168"/>
      <c r="D268" s="168"/>
      <c r="E268" s="168"/>
      <c r="F268" s="168"/>
      <c r="G268" s="168"/>
      <c r="H268" s="171"/>
      <c r="I268" s="171"/>
      <c r="J268" s="168"/>
      <c r="K268" s="168"/>
      <c r="L268" s="168"/>
      <c r="M268" s="168"/>
      <c r="N268" s="169"/>
      <c r="O268" s="161"/>
    </row>
    <row r="269" spans="1:15" x14ac:dyDescent="0.2">
      <c r="A269" s="161"/>
      <c r="B269" s="161"/>
      <c r="C269" s="168"/>
      <c r="D269" s="168"/>
      <c r="E269" s="168"/>
      <c r="F269" s="168"/>
      <c r="G269" s="168"/>
      <c r="H269" s="171"/>
      <c r="I269" s="171"/>
      <c r="J269" s="168"/>
      <c r="K269" s="168"/>
      <c r="L269" s="168"/>
      <c r="M269" s="168"/>
      <c r="N269" s="169"/>
      <c r="O269" s="161"/>
    </row>
    <row r="270" spans="1:15" x14ac:dyDescent="0.2">
      <c r="A270" s="161"/>
      <c r="B270" s="161"/>
      <c r="C270" s="168"/>
      <c r="D270" s="168"/>
      <c r="E270" s="168"/>
      <c r="F270" s="168"/>
      <c r="G270" s="168"/>
      <c r="H270" s="171"/>
      <c r="I270" s="171"/>
      <c r="J270" s="168"/>
      <c r="K270" s="168"/>
      <c r="L270" s="168"/>
      <c r="M270" s="168"/>
      <c r="N270" s="169"/>
      <c r="O270" s="161"/>
    </row>
    <row r="271" spans="1:15" x14ac:dyDescent="0.2">
      <c r="A271" s="161"/>
      <c r="B271" s="161"/>
      <c r="C271" s="168"/>
      <c r="D271" s="168"/>
      <c r="E271" s="168"/>
      <c r="F271" s="168"/>
      <c r="G271" s="168"/>
      <c r="H271" s="171"/>
      <c r="I271" s="171"/>
      <c r="J271" s="168"/>
      <c r="K271" s="168"/>
      <c r="L271" s="168"/>
      <c r="M271" s="168"/>
      <c r="N271" s="169"/>
      <c r="O271" s="161"/>
    </row>
    <row r="272" spans="1:15" x14ac:dyDescent="0.2">
      <c r="A272" s="161"/>
      <c r="B272" s="161"/>
      <c r="C272" s="168"/>
      <c r="D272" s="168"/>
      <c r="E272" s="168"/>
      <c r="F272" s="168"/>
      <c r="G272" s="168"/>
      <c r="H272" s="171"/>
      <c r="I272" s="171"/>
      <c r="J272" s="168"/>
      <c r="K272" s="168"/>
      <c r="L272" s="168"/>
      <c r="M272" s="168"/>
      <c r="N272" s="169"/>
      <c r="O272" s="161"/>
    </row>
    <row r="273" spans="1:15" x14ac:dyDescent="0.2">
      <c r="A273" s="161"/>
      <c r="B273" s="161"/>
      <c r="C273" s="168"/>
      <c r="D273" s="168"/>
      <c r="E273" s="168"/>
      <c r="F273" s="168"/>
      <c r="G273" s="168"/>
      <c r="H273" s="171"/>
      <c r="I273" s="171"/>
      <c r="J273" s="168"/>
      <c r="K273" s="168"/>
      <c r="L273" s="168"/>
      <c r="M273" s="168"/>
      <c r="N273" s="169"/>
      <c r="O273" s="161"/>
    </row>
    <row r="274" spans="1:15" x14ac:dyDescent="0.2">
      <c r="A274" s="161"/>
      <c r="B274" s="161"/>
      <c r="C274" s="168"/>
      <c r="D274" s="168"/>
      <c r="E274" s="168"/>
      <c r="F274" s="168"/>
      <c r="G274" s="168"/>
      <c r="H274" s="171"/>
      <c r="I274" s="171"/>
      <c r="J274" s="168"/>
      <c r="K274" s="168"/>
      <c r="L274" s="168"/>
      <c r="M274" s="168"/>
      <c r="N274" s="169"/>
      <c r="O274" s="161"/>
    </row>
    <row r="275" spans="1:15" x14ac:dyDescent="0.2">
      <c r="A275" s="161"/>
      <c r="B275" s="161"/>
      <c r="C275" s="168"/>
      <c r="D275" s="168"/>
      <c r="E275" s="168"/>
      <c r="F275" s="168"/>
      <c r="G275" s="168"/>
      <c r="H275" s="171"/>
      <c r="I275" s="171"/>
      <c r="J275" s="168"/>
      <c r="K275" s="168"/>
      <c r="L275" s="168"/>
      <c r="M275" s="168"/>
      <c r="N275" s="169"/>
      <c r="O275" s="161"/>
    </row>
    <row r="276" spans="1:15" x14ac:dyDescent="0.2">
      <c r="A276" s="161"/>
      <c r="B276" s="161"/>
      <c r="C276" s="168"/>
      <c r="D276" s="168"/>
      <c r="E276" s="168"/>
      <c r="F276" s="168"/>
      <c r="G276" s="168"/>
      <c r="H276" s="171"/>
      <c r="I276" s="171"/>
      <c r="J276" s="168"/>
      <c r="K276" s="168"/>
      <c r="L276" s="168"/>
      <c r="M276" s="168"/>
      <c r="N276" s="169"/>
      <c r="O276" s="161"/>
    </row>
    <row r="277" spans="1:15" x14ac:dyDescent="0.2">
      <c r="A277" s="161"/>
      <c r="B277" s="161"/>
      <c r="C277" s="168"/>
      <c r="D277" s="168"/>
      <c r="E277" s="168"/>
      <c r="F277" s="168"/>
      <c r="G277" s="168"/>
      <c r="H277" s="171"/>
      <c r="I277" s="171"/>
      <c r="J277" s="168"/>
      <c r="K277" s="168"/>
      <c r="L277" s="168"/>
      <c r="M277" s="168"/>
      <c r="N277" s="169"/>
      <c r="O277" s="161"/>
    </row>
    <row r="278" spans="1:15" x14ac:dyDescent="0.2">
      <c r="A278" s="161"/>
      <c r="B278" s="161"/>
      <c r="C278" s="168"/>
      <c r="D278" s="168"/>
      <c r="E278" s="168"/>
      <c r="F278" s="168"/>
      <c r="G278" s="168"/>
      <c r="H278" s="171"/>
      <c r="I278" s="171"/>
      <c r="J278" s="168"/>
      <c r="K278" s="168"/>
      <c r="L278" s="168"/>
      <c r="M278" s="168"/>
      <c r="N278" s="169"/>
      <c r="O278" s="161"/>
    </row>
    <row r="279" spans="1:15" x14ac:dyDescent="0.2">
      <c r="A279" s="161"/>
      <c r="B279" s="161"/>
      <c r="C279" s="168"/>
      <c r="D279" s="168"/>
      <c r="E279" s="168"/>
      <c r="F279" s="168"/>
      <c r="G279" s="168"/>
      <c r="H279" s="171"/>
      <c r="I279" s="171"/>
      <c r="J279" s="168"/>
      <c r="K279" s="168"/>
      <c r="L279" s="168"/>
      <c r="M279" s="168"/>
      <c r="N279" s="169"/>
      <c r="O279" s="161"/>
    </row>
    <row r="280" spans="1:15" x14ac:dyDescent="0.2">
      <c r="A280" s="161"/>
      <c r="B280" s="161"/>
      <c r="C280" s="168"/>
      <c r="D280" s="168"/>
      <c r="E280" s="168"/>
      <c r="F280" s="168"/>
      <c r="G280" s="168"/>
      <c r="H280" s="171"/>
      <c r="I280" s="171"/>
      <c r="J280" s="168"/>
      <c r="K280" s="168"/>
      <c r="L280" s="168"/>
      <c r="M280" s="168"/>
      <c r="N280" s="169"/>
      <c r="O280" s="161"/>
    </row>
    <row r="281" spans="1:15" x14ac:dyDescent="0.2">
      <c r="A281" s="161"/>
      <c r="B281" s="161"/>
      <c r="C281" s="168"/>
      <c r="D281" s="168"/>
      <c r="E281" s="168"/>
      <c r="F281" s="168"/>
      <c r="G281" s="168"/>
      <c r="H281" s="171"/>
      <c r="I281" s="171"/>
      <c r="J281" s="168"/>
      <c r="K281" s="168"/>
      <c r="L281" s="168"/>
      <c r="M281" s="168"/>
      <c r="N281" s="169"/>
      <c r="O281" s="161"/>
    </row>
    <row r="282" spans="1:15" x14ac:dyDescent="0.2">
      <c r="A282" s="161"/>
      <c r="B282" s="161"/>
      <c r="C282" s="168"/>
      <c r="D282" s="168"/>
      <c r="E282" s="168"/>
      <c r="F282" s="168"/>
      <c r="G282" s="168"/>
      <c r="H282" s="171"/>
      <c r="I282" s="171"/>
      <c r="J282" s="168"/>
      <c r="K282" s="168"/>
      <c r="L282" s="168"/>
      <c r="M282" s="168"/>
      <c r="N282" s="169"/>
      <c r="O282" s="161"/>
    </row>
    <row r="283" spans="1:15" x14ac:dyDescent="0.2">
      <c r="A283" s="161"/>
      <c r="B283" s="161"/>
      <c r="C283" s="168"/>
      <c r="D283" s="168"/>
      <c r="E283" s="168"/>
      <c r="F283" s="168"/>
      <c r="G283" s="168"/>
      <c r="H283" s="171"/>
      <c r="I283" s="171"/>
      <c r="J283" s="168"/>
      <c r="K283" s="168"/>
      <c r="L283" s="168"/>
      <c r="M283" s="168"/>
      <c r="N283" s="169"/>
      <c r="O283" s="161"/>
    </row>
    <row r="284" spans="1:15" x14ac:dyDescent="0.2">
      <c r="A284" s="161"/>
      <c r="B284" s="161"/>
      <c r="C284" s="168"/>
      <c r="D284" s="168"/>
      <c r="E284" s="168"/>
      <c r="F284" s="168"/>
      <c r="G284" s="168"/>
      <c r="H284" s="171"/>
      <c r="I284" s="171"/>
      <c r="J284" s="168"/>
      <c r="K284" s="168"/>
      <c r="L284" s="168"/>
      <c r="M284" s="168"/>
      <c r="N284" s="169"/>
      <c r="O284" s="161"/>
    </row>
    <row r="285" spans="1:15" x14ac:dyDescent="0.2">
      <c r="A285" s="161"/>
      <c r="B285" s="161"/>
      <c r="C285" s="168"/>
      <c r="D285" s="168"/>
      <c r="E285" s="168"/>
      <c r="F285" s="168"/>
      <c r="G285" s="168"/>
      <c r="H285" s="171"/>
      <c r="I285" s="171"/>
      <c r="J285" s="168"/>
      <c r="K285" s="168"/>
      <c r="L285" s="168"/>
      <c r="M285" s="168"/>
      <c r="N285" s="169"/>
      <c r="O285" s="161"/>
    </row>
    <row r="286" spans="1:15" x14ac:dyDescent="0.2">
      <c r="A286" s="161"/>
      <c r="B286" s="161"/>
      <c r="C286" s="168"/>
      <c r="D286" s="168"/>
      <c r="E286" s="168"/>
      <c r="F286" s="168"/>
      <c r="G286" s="168"/>
      <c r="H286" s="171"/>
      <c r="I286" s="171"/>
      <c r="J286" s="168"/>
      <c r="K286" s="168"/>
      <c r="L286" s="168"/>
      <c r="M286" s="168"/>
      <c r="N286" s="169"/>
      <c r="O286" s="161"/>
    </row>
    <row r="287" spans="1:15" x14ac:dyDescent="0.2">
      <c r="A287" s="161"/>
      <c r="B287" s="161"/>
      <c r="C287" s="168"/>
      <c r="D287" s="168"/>
      <c r="E287" s="168"/>
      <c r="F287" s="168"/>
      <c r="G287" s="168"/>
      <c r="H287" s="171"/>
      <c r="I287" s="171"/>
      <c r="J287" s="168"/>
      <c r="K287" s="168"/>
      <c r="L287" s="168"/>
      <c r="M287" s="168"/>
      <c r="N287" s="169"/>
      <c r="O287" s="161"/>
    </row>
    <row r="288" spans="1:15" x14ac:dyDescent="0.2">
      <c r="A288" s="161"/>
      <c r="B288" s="161"/>
      <c r="C288" s="168"/>
      <c r="D288" s="168"/>
      <c r="E288" s="168"/>
      <c r="F288" s="168"/>
      <c r="G288" s="168"/>
      <c r="H288" s="171"/>
      <c r="I288" s="171"/>
      <c r="J288" s="168"/>
      <c r="K288" s="168"/>
      <c r="L288" s="168"/>
      <c r="M288" s="168"/>
      <c r="N288" s="169"/>
      <c r="O288" s="161"/>
    </row>
    <row r="289" spans="1:15" x14ac:dyDescent="0.2">
      <c r="A289" s="161"/>
      <c r="B289" s="161"/>
      <c r="C289" s="168"/>
      <c r="D289" s="168"/>
      <c r="E289" s="168"/>
      <c r="F289" s="168"/>
      <c r="G289" s="168"/>
      <c r="H289" s="171"/>
      <c r="I289" s="171"/>
      <c r="J289" s="168"/>
      <c r="K289" s="168"/>
      <c r="L289" s="168"/>
      <c r="M289" s="168"/>
      <c r="N289" s="169"/>
      <c r="O289" s="161"/>
    </row>
    <row r="290" spans="1:15" x14ac:dyDescent="0.2">
      <c r="A290" s="161"/>
      <c r="B290" s="161"/>
      <c r="C290" s="168"/>
      <c r="D290" s="168"/>
      <c r="E290" s="168"/>
      <c r="F290" s="168"/>
      <c r="G290" s="168"/>
      <c r="H290" s="171"/>
      <c r="I290" s="171"/>
      <c r="J290" s="168"/>
      <c r="K290" s="168"/>
      <c r="L290" s="168"/>
      <c r="M290" s="168"/>
      <c r="N290" s="169"/>
      <c r="O290" s="161"/>
    </row>
    <row r="291" spans="1:15" x14ac:dyDescent="0.2">
      <c r="A291" s="161"/>
      <c r="B291" s="161"/>
      <c r="C291" s="168"/>
      <c r="D291" s="168"/>
      <c r="E291" s="168"/>
      <c r="F291" s="168"/>
      <c r="G291" s="168"/>
      <c r="H291" s="171"/>
      <c r="I291" s="171"/>
      <c r="J291" s="168"/>
      <c r="K291" s="168"/>
      <c r="L291" s="168"/>
      <c r="M291" s="168"/>
      <c r="N291" s="169"/>
      <c r="O291" s="161"/>
    </row>
    <row r="292" spans="1:15" x14ac:dyDescent="0.2">
      <c r="A292" s="161"/>
      <c r="B292" s="161"/>
      <c r="C292" s="168"/>
      <c r="D292" s="168"/>
      <c r="E292" s="168"/>
      <c r="F292" s="168"/>
      <c r="G292" s="168"/>
      <c r="H292" s="171"/>
      <c r="I292" s="171"/>
      <c r="J292" s="168"/>
      <c r="K292" s="168"/>
      <c r="L292" s="168"/>
      <c r="M292" s="168"/>
      <c r="N292" s="169"/>
      <c r="O292" s="161"/>
    </row>
    <row r="293" spans="1:15" x14ac:dyDescent="0.2">
      <c r="A293" s="161"/>
      <c r="B293" s="161"/>
      <c r="C293" s="168"/>
      <c r="D293" s="168"/>
      <c r="E293" s="168"/>
      <c r="F293" s="168"/>
      <c r="G293" s="168"/>
      <c r="H293" s="171"/>
      <c r="I293" s="171"/>
      <c r="J293" s="168"/>
      <c r="K293" s="168"/>
      <c r="L293" s="168"/>
      <c r="M293" s="168"/>
      <c r="N293" s="169"/>
      <c r="O293" s="161"/>
    </row>
    <row r="294" spans="1:15" x14ac:dyDescent="0.2">
      <c r="A294" s="161"/>
      <c r="B294" s="161"/>
      <c r="C294" s="168"/>
      <c r="D294" s="168"/>
      <c r="E294" s="168"/>
      <c r="F294" s="168"/>
      <c r="G294" s="168"/>
      <c r="H294" s="171"/>
      <c r="I294" s="171"/>
      <c r="J294" s="168"/>
      <c r="K294" s="168"/>
      <c r="L294" s="168"/>
      <c r="M294" s="168"/>
      <c r="N294" s="169"/>
      <c r="O294" s="161"/>
    </row>
    <row r="295" spans="1:15" x14ac:dyDescent="0.2">
      <c r="A295" s="161"/>
      <c r="B295" s="161"/>
      <c r="C295" s="168"/>
      <c r="D295" s="168"/>
      <c r="E295" s="168"/>
      <c r="F295" s="168"/>
      <c r="G295" s="168"/>
      <c r="H295" s="171"/>
      <c r="I295" s="171"/>
      <c r="J295" s="168"/>
      <c r="K295" s="168"/>
      <c r="L295" s="168"/>
      <c r="M295" s="168"/>
      <c r="N295" s="169"/>
      <c r="O295" s="161"/>
    </row>
    <row r="296" spans="1:15" x14ac:dyDescent="0.2">
      <c r="A296" s="161"/>
      <c r="B296" s="161"/>
      <c r="C296" s="168"/>
      <c r="D296" s="168"/>
      <c r="E296" s="168"/>
      <c r="F296" s="168"/>
      <c r="G296" s="168"/>
      <c r="H296" s="171"/>
      <c r="I296" s="171"/>
      <c r="J296" s="168"/>
      <c r="K296" s="168"/>
      <c r="L296" s="168"/>
      <c r="M296" s="168"/>
      <c r="N296" s="169"/>
      <c r="O296" s="161"/>
    </row>
    <row r="297" spans="1:15" x14ac:dyDescent="0.2">
      <c r="A297" s="161"/>
      <c r="B297" s="161"/>
      <c r="C297" s="168"/>
      <c r="D297" s="168"/>
      <c r="E297" s="168"/>
      <c r="F297" s="168"/>
      <c r="G297" s="168"/>
      <c r="H297" s="171"/>
      <c r="I297" s="171"/>
      <c r="J297" s="168"/>
      <c r="K297" s="168"/>
      <c r="L297" s="168"/>
      <c r="M297" s="168"/>
      <c r="N297" s="169"/>
      <c r="O297" s="161"/>
    </row>
    <row r="298" spans="1:15" s="161" customFormat="1" x14ac:dyDescent="0.2">
      <c r="D298" s="349"/>
      <c r="E298" s="349"/>
      <c r="F298" s="349"/>
      <c r="G298" s="349"/>
      <c r="H298" s="349"/>
      <c r="I298" s="349"/>
      <c r="J298" s="349"/>
      <c r="K298" s="349"/>
      <c r="L298" s="349"/>
    </row>
    <row r="299" spans="1:15" s="161" customFormat="1" x14ac:dyDescent="0.2">
      <c r="D299" s="349"/>
      <c r="E299" s="349"/>
      <c r="F299" s="349"/>
      <c r="G299" s="349"/>
      <c r="H299" s="349"/>
      <c r="I299" s="349"/>
      <c r="J299" s="349"/>
      <c r="K299" s="349"/>
      <c r="L299" s="349"/>
    </row>
    <row r="300" spans="1:15" s="161" customFormat="1" x14ac:dyDescent="0.2">
      <c r="D300" s="349"/>
      <c r="E300" s="349"/>
      <c r="F300" s="349"/>
      <c r="G300" s="349"/>
      <c r="H300" s="349"/>
      <c r="I300" s="349"/>
      <c r="J300" s="349"/>
      <c r="K300" s="349"/>
      <c r="L300" s="349"/>
    </row>
    <row r="301" spans="1:15" s="161" customFormat="1" x14ac:dyDescent="0.2">
      <c r="D301" s="349"/>
      <c r="E301" s="349"/>
      <c r="F301" s="349"/>
      <c r="G301" s="349"/>
      <c r="H301" s="349"/>
      <c r="I301" s="349"/>
      <c r="J301" s="349"/>
      <c r="K301" s="349"/>
      <c r="L301" s="349"/>
    </row>
    <row r="302" spans="1:15" s="161" customFormat="1" x14ac:dyDescent="0.2">
      <c r="D302" s="349"/>
      <c r="E302" s="349"/>
      <c r="F302" s="349"/>
      <c r="G302" s="349"/>
      <c r="H302" s="349"/>
      <c r="I302" s="349"/>
      <c r="J302" s="349"/>
      <c r="K302" s="349"/>
      <c r="L302" s="349"/>
    </row>
    <row r="303" spans="1:15" s="161" customFormat="1" x14ac:dyDescent="0.2">
      <c r="D303" s="349"/>
      <c r="E303" s="349"/>
      <c r="F303" s="349"/>
      <c r="G303" s="349"/>
      <c r="H303" s="349"/>
      <c r="I303" s="349"/>
      <c r="J303" s="349"/>
      <c r="K303" s="349"/>
      <c r="L303" s="349"/>
    </row>
    <row r="304" spans="1:15" s="161" customFormat="1" x14ac:dyDescent="0.2">
      <c r="D304" s="349"/>
      <c r="E304" s="349"/>
      <c r="F304" s="349"/>
      <c r="G304" s="349"/>
      <c r="H304" s="349"/>
      <c r="I304" s="349"/>
      <c r="J304" s="349"/>
      <c r="K304" s="349"/>
      <c r="L304" s="349"/>
    </row>
    <row r="305" spans="4:12" s="161" customFormat="1" x14ac:dyDescent="0.2">
      <c r="D305" s="349"/>
      <c r="E305" s="349"/>
      <c r="F305" s="349"/>
      <c r="G305" s="349"/>
      <c r="H305" s="349"/>
      <c r="I305" s="349"/>
      <c r="J305" s="349"/>
      <c r="K305" s="349"/>
      <c r="L305" s="349"/>
    </row>
    <row r="306" spans="4:12" s="161" customFormat="1" x14ac:dyDescent="0.2">
      <c r="D306" s="349"/>
      <c r="E306" s="349"/>
      <c r="F306" s="349"/>
      <c r="G306" s="349"/>
      <c r="H306" s="349"/>
      <c r="I306" s="349"/>
      <c r="J306" s="349"/>
      <c r="K306" s="349"/>
      <c r="L306" s="349"/>
    </row>
    <row r="307" spans="4:12" s="161" customFormat="1" x14ac:dyDescent="0.2">
      <c r="D307" s="349"/>
      <c r="E307" s="349"/>
      <c r="F307" s="349"/>
      <c r="G307" s="349"/>
      <c r="H307" s="349"/>
      <c r="I307" s="349"/>
      <c r="J307" s="349"/>
      <c r="K307" s="349"/>
      <c r="L307" s="349"/>
    </row>
    <row r="308" spans="4:12" s="161" customFormat="1" x14ac:dyDescent="0.2">
      <c r="D308" s="349"/>
      <c r="E308" s="349"/>
      <c r="F308" s="349"/>
      <c r="G308" s="349"/>
      <c r="H308" s="349"/>
      <c r="I308" s="349"/>
      <c r="J308" s="349"/>
      <c r="K308" s="349"/>
      <c r="L308" s="349"/>
    </row>
    <row r="309" spans="4:12" s="161" customFormat="1" x14ac:dyDescent="0.2">
      <c r="D309" s="349"/>
      <c r="E309" s="349"/>
      <c r="F309" s="349"/>
      <c r="G309" s="349"/>
      <c r="H309" s="349"/>
      <c r="I309" s="349"/>
      <c r="J309" s="349"/>
      <c r="K309" s="349"/>
      <c r="L309" s="349"/>
    </row>
    <row r="310" spans="4:12" s="161" customFormat="1" x14ac:dyDescent="0.2">
      <c r="D310" s="349"/>
      <c r="E310" s="349"/>
      <c r="F310" s="349"/>
      <c r="G310" s="349"/>
      <c r="H310" s="349"/>
      <c r="I310" s="349"/>
      <c r="J310" s="349"/>
      <c r="K310" s="349"/>
      <c r="L310" s="349"/>
    </row>
    <row r="311" spans="4:12" s="161" customFormat="1" x14ac:dyDescent="0.2">
      <c r="D311" s="349"/>
      <c r="E311" s="349"/>
      <c r="F311" s="349"/>
      <c r="G311" s="349"/>
      <c r="H311" s="349"/>
      <c r="I311" s="349"/>
      <c r="J311" s="349"/>
      <c r="K311" s="349"/>
      <c r="L311" s="349"/>
    </row>
    <row r="312" spans="4:12" s="161" customFormat="1" x14ac:dyDescent="0.2">
      <c r="D312" s="349"/>
      <c r="E312" s="349"/>
      <c r="F312" s="349"/>
      <c r="G312" s="349"/>
      <c r="H312" s="349"/>
      <c r="I312" s="349"/>
      <c r="J312" s="349"/>
      <c r="K312" s="349"/>
      <c r="L312" s="349"/>
    </row>
    <row r="313" spans="4:12" s="161" customFormat="1" x14ac:dyDescent="0.2">
      <c r="D313" s="349"/>
      <c r="E313" s="349"/>
      <c r="F313" s="349"/>
      <c r="G313" s="349"/>
      <c r="H313" s="349"/>
      <c r="I313" s="349"/>
      <c r="J313" s="349"/>
      <c r="K313" s="349"/>
      <c r="L313" s="349"/>
    </row>
    <row r="314" spans="4:12" s="161" customFormat="1" x14ac:dyDescent="0.2">
      <c r="D314" s="349"/>
      <c r="E314" s="349"/>
      <c r="F314" s="349"/>
      <c r="G314" s="349"/>
      <c r="H314" s="349"/>
      <c r="I314" s="349"/>
      <c r="J314" s="349"/>
      <c r="K314" s="349"/>
      <c r="L314" s="349"/>
    </row>
    <row r="315" spans="4:12" s="161" customFormat="1" x14ac:dyDescent="0.2">
      <c r="D315" s="349"/>
      <c r="E315" s="349"/>
      <c r="F315" s="349"/>
      <c r="G315" s="349"/>
      <c r="H315" s="349"/>
      <c r="I315" s="349"/>
      <c r="J315" s="349"/>
      <c r="K315" s="349"/>
      <c r="L315" s="349"/>
    </row>
    <row r="316" spans="4:12" s="161" customFormat="1" x14ac:dyDescent="0.2">
      <c r="D316" s="349"/>
      <c r="E316" s="349"/>
      <c r="F316" s="349"/>
      <c r="G316" s="349"/>
      <c r="H316" s="349"/>
      <c r="I316" s="349"/>
      <c r="J316" s="349"/>
      <c r="K316" s="349"/>
      <c r="L316" s="349"/>
    </row>
    <row r="317" spans="4:12" s="161" customFormat="1" x14ac:dyDescent="0.2">
      <c r="D317" s="349"/>
      <c r="E317" s="349"/>
      <c r="F317" s="349"/>
      <c r="G317" s="349"/>
      <c r="H317" s="349"/>
      <c r="I317" s="349"/>
      <c r="J317" s="349"/>
      <c r="K317" s="349"/>
      <c r="L317" s="349"/>
    </row>
    <row r="318" spans="4:12" s="161" customFormat="1" x14ac:dyDescent="0.2">
      <c r="D318" s="349"/>
      <c r="E318" s="349"/>
      <c r="F318" s="349"/>
      <c r="G318" s="349"/>
      <c r="H318" s="349"/>
      <c r="I318" s="349"/>
      <c r="J318" s="349"/>
      <c r="K318" s="349"/>
      <c r="L318" s="349"/>
    </row>
    <row r="319" spans="4:12" s="161" customFormat="1" x14ac:dyDescent="0.2">
      <c r="D319" s="349"/>
      <c r="E319" s="349"/>
      <c r="F319" s="349"/>
      <c r="G319" s="349"/>
      <c r="H319" s="349"/>
      <c r="I319" s="349"/>
      <c r="J319" s="349"/>
      <c r="K319" s="349"/>
      <c r="L319" s="349"/>
    </row>
    <row r="320" spans="4:12" s="161" customFormat="1" x14ac:dyDescent="0.2">
      <c r="D320" s="349"/>
      <c r="E320" s="349"/>
      <c r="F320" s="349"/>
      <c r="G320" s="349"/>
      <c r="H320" s="349"/>
      <c r="I320" s="349"/>
      <c r="J320" s="349"/>
      <c r="K320" s="349"/>
      <c r="L320" s="349"/>
    </row>
    <row r="321" spans="4:12" s="161" customFormat="1" x14ac:dyDescent="0.2">
      <c r="D321" s="349"/>
      <c r="E321" s="349"/>
      <c r="F321" s="349"/>
      <c r="G321" s="349"/>
      <c r="H321" s="349"/>
      <c r="I321" s="349"/>
      <c r="J321" s="349"/>
      <c r="K321" s="349"/>
      <c r="L321" s="349"/>
    </row>
    <row r="322" spans="4:12" s="161" customFormat="1" x14ac:dyDescent="0.2">
      <c r="D322" s="349"/>
      <c r="E322" s="349"/>
      <c r="F322" s="349"/>
      <c r="G322" s="349"/>
      <c r="H322" s="349"/>
      <c r="I322" s="349"/>
      <c r="J322" s="349"/>
      <c r="K322" s="349"/>
      <c r="L322" s="349"/>
    </row>
    <row r="323" spans="4:12" s="161" customFormat="1" x14ac:dyDescent="0.2">
      <c r="D323" s="349"/>
      <c r="E323" s="349"/>
      <c r="F323" s="349"/>
      <c r="G323" s="349"/>
      <c r="H323" s="349"/>
      <c r="I323" s="349"/>
      <c r="J323" s="349"/>
      <c r="K323" s="349"/>
      <c r="L323" s="349"/>
    </row>
    <row r="324" spans="4:12" s="161" customFormat="1" x14ac:dyDescent="0.2">
      <c r="D324" s="349"/>
      <c r="E324" s="349"/>
      <c r="F324" s="349"/>
      <c r="G324" s="349"/>
      <c r="H324" s="349"/>
      <c r="I324" s="349"/>
      <c r="J324" s="349"/>
      <c r="K324" s="349"/>
      <c r="L324" s="349"/>
    </row>
    <row r="325" spans="4:12" s="161" customFormat="1" x14ac:dyDescent="0.2">
      <c r="D325" s="349"/>
      <c r="E325" s="349"/>
      <c r="F325" s="349"/>
      <c r="G325" s="349"/>
      <c r="H325" s="349"/>
      <c r="I325" s="349"/>
      <c r="J325" s="349"/>
      <c r="K325" s="349"/>
      <c r="L325" s="349"/>
    </row>
    <row r="326" spans="4:12" s="161" customFormat="1" x14ac:dyDescent="0.2">
      <c r="D326" s="349"/>
      <c r="E326" s="349"/>
      <c r="F326" s="349"/>
      <c r="G326" s="349"/>
      <c r="H326" s="349"/>
      <c r="I326" s="349"/>
      <c r="J326" s="349"/>
      <c r="K326" s="349"/>
      <c r="L326" s="349"/>
    </row>
    <row r="327" spans="4:12" s="161" customFormat="1" x14ac:dyDescent="0.2">
      <c r="D327" s="349"/>
      <c r="E327" s="349"/>
      <c r="F327" s="349"/>
      <c r="G327" s="349"/>
      <c r="H327" s="349"/>
      <c r="I327" s="349"/>
      <c r="J327" s="349"/>
      <c r="K327" s="349"/>
      <c r="L327" s="349"/>
    </row>
    <row r="328" spans="4:12" s="161" customFormat="1" x14ac:dyDescent="0.2">
      <c r="D328" s="349"/>
      <c r="E328" s="349"/>
      <c r="F328" s="349"/>
      <c r="G328" s="349"/>
      <c r="H328" s="349"/>
      <c r="I328" s="349"/>
      <c r="J328" s="349"/>
      <c r="K328" s="349"/>
      <c r="L328" s="349"/>
    </row>
    <row r="329" spans="4:12" s="161" customFormat="1" x14ac:dyDescent="0.2">
      <c r="D329" s="349"/>
      <c r="E329" s="349"/>
      <c r="F329" s="349"/>
      <c r="G329" s="349"/>
      <c r="H329" s="349"/>
      <c r="I329" s="349"/>
      <c r="J329" s="349"/>
      <c r="K329" s="349"/>
      <c r="L329" s="349"/>
    </row>
    <row r="330" spans="4:12" s="161" customFormat="1" x14ac:dyDescent="0.2">
      <c r="D330" s="349"/>
      <c r="E330" s="349"/>
      <c r="F330" s="349"/>
      <c r="G330" s="349"/>
      <c r="H330" s="349"/>
      <c r="I330" s="349"/>
      <c r="J330" s="349"/>
      <c r="K330" s="349"/>
      <c r="L330" s="349"/>
    </row>
    <row r="331" spans="4:12" s="161" customFormat="1" x14ac:dyDescent="0.2">
      <c r="D331" s="349"/>
      <c r="E331" s="349"/>
      <c r="F331" s="349"/>
      <c r="G331" s="349"/>
      <c r="H331" s="349"/>
      <c r="I331" s="349"/>
      <c r="J331" s="349"/>
      <c r="K331" s="349"/>
      <c r="L331" s="349"/>
    </row>
    <row r="332" spans="4:12" s="161" customFormat="1" x14ac:dyDescent="0.2">
      <c r="D332" s="349"/>
      <c r="E332" s="349"/>
      <c r="F332" s="349"/>
      <c r="G332" s="349"/>
      <c r="H332" s="349"/>
      <c r="I332" s="349"/>
      <c r="J332" s="349"/>
      <c r="K332" s="349"/>
      <c r="L332" s="349"/>
    </row>
    <row r="333" spans="4:12" s="161" customFormat="1" x14ac:dyDescent="0.2">
      <c r="D333" s="349"/>
      <c r="E333" s="349"/>
      <c r="F333" s="349"/>
      <c r="G333" s="349"/>
      <c r="H333" s="349"/>
      <c r="I333" s="349"/>
      <c r="J333" s="349"/>
      <c r="K333" s="349"/>
      <c r="L333" s="349"/>
    </row>
    <row r="334" spans="4:12" s="161" customFormat="1" x14ac:dyDescent="0.2">
      <c r="D334" s="349"/>
      <c r="E334" s="349"/>
      <c r="F334" s="349"/>
      <c r="G334" s="349"/>
      <c r="H334" s="349"/>
      <c r="I334" s="349"/>
      <c r="J334" s="349"/>
      <c r="K334" s="349"/>
      <c r="L334" s="349"/>
    </row>
    <row r="335" spans="4:12" s="161" customFormat="1" x14ac:dyDescent="0.2">
      <c r="D335" s="349"/>
      <c r="E335" s="349"/>
      <c r="F335" s="349"/>
      <c r="G335" s="349"/>
      <c r="H335" s="349"/>
      <c r="I335" s="349"/>
      <c r="J335" s="349"/>
      <c r="K335" s="349"/>
      <c r="L335" s="349"/>
    </row>
    <row r="336" spans="4:12" s="161" customFormat="1" x14ac:dyDescent="0.2">
      <c r="D336" s="349"/>
      <c r="E336" s="349"/>
      <c r="F336" s="349"/>
      <c r="G336" s="349"/>
      <c r="H336" s="349"/>
      <c r="I336" s="349"/>
      <c r="J336" s="349"/>
      <c r="K336" s="349"/>
      <c r="L336" s="349"/>
    </row>
    <row r="337" spans="4:12" s="161" customFormat="1" x14ac:dyDescent="0.2">
      <c r="D337" s="349"/>
      <c r="E337" s="349"/>
      <c r="F337" s="349"/>
      <c r="G337" s="349"/>
      <c r="H337" s="349"/>
      <c r="I337" s="349"/>
      <c r="J337" s="349"/>
      <c r="K337" s="349"/>
      <c r="L337" s="349"/>
    </row>
    <row r="338" spans="4:12" s="161" customFormat="1" x14ac:dyDescent="0.2">
      <c r="D338" s="349"/>
      <c r="E338" s="349"/>
      <c r="F338" s="349"/>
      <c r="G338" s="349"/>
      <c r="H338" s="349"/>
      <c r="I338" s="349"/>
      <c r="J338" s="349"/>
      <c r="K338" s="349"/>
      <c r="L338" s="349"/>
    </row>
    <row r="339" spans="4:12" s="161" customFormat="1" x14ac:dyDescent="0.2">
      <c r="D339" s="349"/>
      <c r="E339" s="349"/>
      <c r="F339" s="349"/>
      <c r="G339" s="349"/>
      <c r="H339" s="349"/>
      <c r="I339" s="349"/>
      <c r="J339" s="349"/>
      <c r="K339" s="349"/>
      <c r="L339" s="349"/>
    </row>
    <row r="340" spans="4:12" s="161" customFormat="1" x14ac:dyDescent="0.2">
      <c r="D340" s="349"/>
      <c r="E340" s="349"/>
      <c r="F340" s="349"/>
      <c r="G340" s="349"/>
      <c r="H340" s="349"/>
      <c r="I340" s="349"/>
      <c r="J340" s="349"/>
      <c r="K340" s="349"/>
      <c r="L340" s="349"/>
    </row>
    <row r="341" spans="4:12" s="161" customFormat="1" x14ac:dyDescent="0.2">
      <c r="D341" s="349"/>
      <c r="E341" s="349"/>
      <c r="F341" s="349"/>
      <c r="G341" s="349"/>
      <c r="H341" s="349"/>
      <c r="I341" s="349"/>
      <c r="J341" s="349"/>
      <c r="K341" s="349"/>
      <c r="L341" s="349"/>
    </row>
    <row r="342" spans="4:12" s="161" customFormat="1" x14ac:dyDescent="0.2">
      <c r="D342" s="349"/>
      <c r="E342" s="349"/>
      <c r="F342" s="349"/>
      <c r="G342" s="349"/>
      <c r="H342" s="349"/>
      <c r="I342" s="349"/>
      <c r="J342" s="349"/>
      <c r="K342" s="349"/>
      <c r="L342" s="349"/>
    </row>
    <row r="343" spans="4:12" s="161" customFormat="1" x14ac:dyDescent="0.2">
      <c r="D343" s="349"/>
      <c r="E343" s="349"/>
      <c r="F343" s="349"/>
      <c r="G343" s="349"/>
      <c r="H343" s="349"/>
      <c r="I343" s="349"/>
      <c r="J343" s="349"/>
      <c r="K343" s="349"/>
      <c r="L343" s="349"/>
    </row>
    <row r="344" spans="4:12" s="161" customFormat="1" x14ac:dyDescent="0.2">
      <c r="D344" s="349"/>
      <c r="E344" s="349"/>
      <c r="F344" s="349"/>
      <c r="G344" s="349"/>
      <c r="H344" s="349"/>
      <c r="I344" s="349"/>
      <c r="J344" s="349"/>
      <c r="K344" s="349"/>
      <c r="L344" s="349"/>
    </row>
    <row r="345" spans="4:12" s="161" customFormat="1" x14ac:dyDescent="0.2">
      <c r="D345" s="349"/>
      <c r="E345" s="349"/>
      <c r="F345" s="349"/>
      <c r="G345" s="349"/>
      <c r="H345" s="349"/>
      <c r="I345" s="349"/>
      <c r="J345" s="349"/>
      <c r="K345" s="349"/>
      <c r="L345" s="349"/>
    </row>
    <row r="346" spans="4:12" s="161" customFormat="1" x14ac:dyDescent="0.2">
      <c r="D346" s="349"/>
      <c r="E346" s="349"/>
      <c r="F346" s="349"/>
      <c r="G346" s="349"/>
      <c r="H346" s="349"/>
      <c r="I346" s="349"/>
      <c r="J346" s="349"/>
      <c r="K346" s="349"/>
      <c r="L346" s="349"/>
    </row>
    <row r="347" spans="4:12" s="161" customFormat="1" x14ac:dyDescent="0.2">
      <c r="D347" s="349"/>
      <c r="E347" s="349"/>
      <c r="F347" s="349"/>
      <c r="G347" s="349"/>
      <c r="H347" s="349"/>
      <c r="I347" s="349"/>
      <c r="J347" s="349"/>
      <c r="K347" s="349"/>
      <c r="L347" s="349"/>
    </row>
    <row r="348" spans="4:12" s="161" customFormat="1" x14ac:dyDescent="0.2">
      <c r="D348" s="349"/>
      <c r="E348" s="349"/>
      <c r="F348" s="349"/>
      <c r="G348" s="349"/>
      <c r="H348" s="349"/>
      <c r="I348" s="349"/>
      <c r="J348" s="349"/>
      <c r="K348" s="349"/>
      <c r="L348" s="349"/>
    </row>
    <row r="349" spans="4:12" s="161" customFormat="1" x14ac:dyDescent="0.2">
      <c r="D349" s="349"/>
      <c r="E349" s="349"/>
      <c r="F349" s="349"/>
      <c r="G349" s="349"/>
      <c r="H349" s="349"/>
      <c r="I349" s="349"/>
      <c r="J349" s="349"/>
      <c r="K349" s="349"/>
      <c r="L349" s="349"/>
    </row>
    <row r="350" spans="4:12" s="161" customFormat="1" x14ac:dyDescent="0.2">
      <c r="D350" s="349"/>
      <c r="E350" s="349"/>
      <c r="F350" s="349"/>
      <c r="G350" s="349"/>
      <c r="H350" s="349"/>
      <c r="I350" s="349"/>
      <c r="J350" s="349"/>
      <c r="K350" s="349"/>
      <c r="L350" s="349"/>
    </row>
    <row r="351" spans="4:12" s="161" customFormat="1" x14ac:dyDescent="0.2">
      <c r="D351" s="349"/>
      <c r="E351" s="349"/>
      <c r="F351" s="349"/>
      <c r="G351" s="349"/>
      <c r="H351" s="349"/>
      <c r="I351" s="349"/>
      <c r="J351" s="349"/>
      <c r="K351" s="349"/>
      <c r="L351" s="349"/>
    </row>
    <row r="352" spans="4:12" s="161" customFormat="1" x14ac:dyDescent="0.2">
      <c r="D352" s="349"/>
      <c r="E352" s="349"/>
      <c r="F352" s="349"/>
      <c r="G352" s="349"/>
      <c r="H352" s="349"/>
      <c r="I352" s="349"/>
      <c r="J352" s="349"/>
      <c r="K352" s="349"/>
      <c r="L352" s="349"/>
    </row>
    <row r="353" spans="4:12" s="161" customFormat="1" x14ac:dyDescent="0.2">
      <c r="D353" s="349"/>
      <c r="E353" s="349"/>
      <c r="F353" s="349"/>
      <c r="G353" s="349"/>
      <c r="H353" s="349"/>
      <c r="I353" s="349"/>
      <c r="J353" s="349"/>
      <c r="K353" s="349"/>
      <c r="L353" s="349"/>
    </row>
    <row r="354" spans="4:12" s="161" customFormat="1" x14ac:dyDescent="0.2">
      <c r="D354" s="349"/>
      <c r="E354" s="349"/>
      <c r="F354" s="349"/>
      <c r="G354" s="349"/>
      <c r="H354" s="349"/>
      <c r="I354" s="349"/>
      <c r="J354" s="349"/>
      <c r="K354" s="349"/>
      <c r="L354" s="349"/>
    </row>
    <row r="355" spans="4:12" s="161" customFormat="1" x14ac:dyDescent="0.2">
      <c r="D355" s="349"/>
      <c r="E355" s="349"/>
      <c r="F355" s="349"/>
      <c r="G355" s="349"/>
      <c r="H355" s="349"/>
      <c r="I355" s="349"/>
      <c r="J355" s="349"/>
      <c r="K355" s="349"/>
      <c r="L355" s="349"/>
    </row>
    <row r="356" spans="4:12" s="161" customFormat="1" x14ac:dyDescent="0.2">
      <c r="D356" s="349"/>
      <c r="E356" s="349"/>
      <c r="F356" s="349"/>
      <c r="G356" s="349"/>
      <c r="H356" s="349"/>
      <c r="I356" s="349"/>
      <c r="J356" s="349"/>
      <c r="K356" s="349"/>
      <c r="L356" s="349"/>
    </row>
    <row r="357" spans="4:12" s="161" customFormat="1" x14ac:dyDescent="0.2">
      <c r="D357" s="349"/>
      <c r="E357" s="349"/>
      <c r="F357" s="349"/>
      <c r="G357" s="349"/>
      <c r="H357" s="349"/>
      <c r="I357" s="349"/>
      <c r="J357" s="349"/>
      <c r="K357" s="349"/>
      <c r="L357" s="349"/>
    </row>
    <row r="358" spans="4:12" s="161" customFormat="1" x14ac:dyDescent="0.2">
      <c r="D358" s="349"/>
      <c r="E358" s="349"/>
      <c r="F358" s="349"/>
      <c r="G358" s="349"/>
      <c r="H358" s="349"/>
      <c r="I358" s="349"/>
      <c r="J358" s="349"/>
      <c r="K358" s="349"/>
      <c r="L358" s="349"/>
    </row>
    <row r="359" spans="4:12" s="161" customFormat="1" x14ac:dyDescent="0.2">
      <c r="D359" s="349"/>
      <c r="E359" s="349"/>
      <c r="F359" s="349"/>
      <c r="G359" s="349"/>
      <c r="H359" s="349"/>
      <c r="I359" s="349"/>
      <c r="J359" s="349"/>
      <c r="K359" s="349"/>
      <c r="L359" s="349"/>
    </row>
    <row r="360" spans="4:12" s="161" customFormat="1" x14ac:dyDescent="0.2">
      <c r="D360" s="349"/>
      <c r="E360" s="349"/>
      <c r="F360" s="349"/>
      <c r="G360" s="349"/>
      <c r="H360" s="349"/>
      <c r="I360" s="349"/>
      <c r="J360" s="349"/>
      <c r="K360" s="349"/>
      <c r="L360" s="349"/>
    </row>
    <row r="361" spans="4:12" s="161" customFormat="1" x14ac:dyDescent="0.2">
      <c r="D361" s="349"/>
      <c r="E361" s="349"/>
      <c r="F361" s="349"/>
      <c r="G361" s="349"/>
      <c r="H361" s="349"/>
      <c r="I361" s="349"/>
      <c r="J361" s="349"/>
      <c r="K361" s="349"/>
      <c r="L361" s="349"/>
    </row>
    <row r="362" spans="4:12" s="161" customFormat="1" x14ac:dyDescent="0.2">
      <c r="D362" s="349"/>
      <c r="E362" s="349"/>
      <c r="F362" s="349"/>
      <c r="G362" s="349"/>
      <c r="H362" s="349"/>
      <c r="I362" s="349"/>
      <c r="J362" s="349"/>
      <c r="K362" s="349"/>
      <c r="L362" s="349"/>
    </row>
    <row r="363" spans="4:12" s="161" customFormat="1" x14ac:dyDescent="0.2">
      <c r="D363" s="349"/>
      <c r="E363" s="349"/>
      <c r="F363" s="349"/>
      <c r="G363" s="349"/>
      <c r="H363" s="349"/>
      <c r="I363" s="349"/>
      <c r="J363" s="349"/>
      <c r="K363" s="349"/>
      <c r="L363" s="349"/>
    </row>
    <row r="364" spans="4:12" s="161" customFormat="1" x14ac:dyDescent="0.2">
      <c r="D364" s="349"/>
      <c r="E364" s="349"/>
      <c r="F364" s="349"/>
      <c r="G364" s="349"/>
      <c r="H364" s="349"/>
      <c r="I364" s="349"/>
      <c r="J364" s="349"/>
      <c r="K364" s="349"/>
      <c r="L364" s="349"/>
    </row>
    <row r="365" spans="4:12" s="161" customFormat="1" x14ac:dyDescent="0.2">
      <c r="D365" s="349"/>
      <c r="E365" s="349"/>
      <c r="F365" s="349"/>
      <c r="G365" s="349"/>
      <c r="H365" s="349"/>
      <c r="I365" s="349"/>
      <c r="J365" s="349"/>
      <c r="K365" s="349"/>
      <c r="L365" s="349"/>
    </row>
    <row r="366" spans="4:12" s="161" customFormat="1" x14ac:dyDescent="0.2">
      <c r="D366" s="349"/>
      <c r="E366" s="349"/>
      <c r="F366" s="349"/>
      <c r="G366" s="349"/>
      <c r="H366" s="349"/>
      <c r="I366" s="349"/>
      <c r="J366" s="349"/>
      <c r="K366" s="349"/>
      <c r="L366" s="349"/>
    </row>
    <row r="367" spans="4:12" s="161" customFormat="1" x14ac:dyDescent="0.2">
      <c r="D367" s="349"/>
      <c r="E367" s="349"/>
      <c r="F367" s="349"/>
      <c r="G367" s="349"/>
      <c r="H367" s="349"/>
      <c r="I367" s="349"/>
      <c r="J367" s="349"/>
      <c r="K367" s="349"/>
      <c r="L367" s="349"/>
    </row>
    <row r="368" spans="4:12" s="161" customFormat="1" x14ac:dyDescent="0.2">
      <c r="D368" s="349"/>
      <c r="E368" s="349"/>
      <c r="F368" s="349"/>
      <c r="G368" s="349"/>
      <c r="H368" s="349"/>
      <c r="I368" s="349"/>
      <c r="J368" s="349"/>
      <c r="K368" s="349"/>
      <c r="L368" s="349"/>
    </row>
    <row r="369" spans="4:12" s="161" customFormat="1" x14ac:dyDescent="0.2">
      <c r="D369" s="349"/>
      <c r="E369" s="349"/>
      <c r="F369" s="349"/>
      <c r="G369" s="349"/>
      <c r="H369" s="349"/>
      <c r="I369" s="349"/>
      <c r="J369" s="349"/>
      <c r="K369" s="349"/>
      <c r="L369" s="349"/>
    </row>
    <row r="370" spans="4:12" s="161" customFormat="1" x14ac:dyDescent="0.2">
      <c r="D370" s="349"/>
      <c r="E370" s="349"/>
      <c r="F370" s="349"/>
      <c r="G370" s="349"/>
      <c r="H370" s="349"/>
      <c r="I370" s="349"/>
      <c r="J370" s="349"/>
      <c r="K370" s="349"/>
      <c r="L370" s="349"/>
    </row>
    <row r="371" spans="4:12" s="161" customFormat="1" x14ac:dyDescent="0.2">
      <c r="D371" s="349"/>
      <c r="E371" s="349"/>
      <c r="F371" s="349"/>
      <c r="G371" s="349"/>
      <c r="H371" s="349"/>
      <c r="I371" s="349"/>
      <c r="J371" s="349"/>
      <c r="K371" s="349"/>
      <c r="L371" s="349"/>
    </row>
    <row r="372" spans="4:12" s="161" customFormat="1" x14ac:dyDescent="0.2">
      <c r="D372" s="349"/>
      <c r="E372" s="349"/>
      <c r="F372" s="349"/>
      <c r="G372" s="349"/>
      <c r="H372" s="349"/>
      <c r="I372" s="349"/>
      <c r="J372" s="349"/>
      <c r="K372" s="349"/>
      <c r="L372" s="349"/>
    </row>
    <row r="373" spans="4:12" s="161" customFormat="1" x14ac:dyDescent="0.2">
      <c r="D373" s="349"/>
      <c r="E373" s="349"/>
      <c r="F373" s="349"/>
      <c r="G373" s="349"/>
      <c r="H373" s="349"/>
      <c r="I373" s="349"/>
      <c r="J373" s="349"/>
      <c r="K373" s="349"/>
      <c r="L373" s="349"/>
    </row>
    <row r="374" spans="4:12" s="161" customFormat="1" x14ac:dyDescent="0.2">
      <c r="D374" s="349"/>
      <c r="E374" s="349"/>
      <c r="F374" s="349"/>
      <c r="G374" s="349"/>
      <c r="H374" s="349"/>
      <c r="I374" s="349"/>
      <c r="J374" s="349"/>
      <c r="K374" s="349"/>
      <c r="L374" s="349"/>
    </row>
    <row r="375" spans="4:12" s="161" customFormat="1" x14ac:dyDescent="0.2">
      <c r="D375" s="349"/>
      <c r="E375" s="349"/>
      <c r="F375" s="349"/>
      <c r="G375" s="349"/>
      <c r="H375" s="349"/>
      <c r="I375" s="349"/>
      <c r="J375" s="349"/>
      <c r="K375" s="349"/>
      <c r="L375" s="349"/>
    </row>
    <row r="376" spans="4:12" s="161" customFormat="1" x14ac:dyDescent="0.2">
      <c r="D376" s="349"/>
      <c r="E376" s="349"/>
      <c r="F376" s="349"/>
      <c r="G376" s="349"/>
      <c r="H376" s="349"/>
      <c r="I376" s="349"/>
      <c r="J376" s="349"/>
      <c r="K376" s="349"/>
      <c r="L376" s="349"/>
    </row>
    <row r="377" spans="4:12" s="161" customFormat="1" x14ac:dyDescent="0.2">
      <c r="D377" s="349"/>
      <c r="E377" s="349"/>
      <c r="F377" s="349"/>
      <c r="G377" s="349"/>
      <c r="H377" s="349"/>
      <c r="I377" s="349"/>
      <c r="J377" s="349"/>
      <c r="K377" s="349"/>
      <c r="L377" s="349"/>
    </row>
    <row r="378" spans="4:12" s="161" customFormat="1" x14ac:dyDescent="0.2">
      <c r="D378" s="349"/>
      <c r="E378" s="349"/>
      <c r="F378" s="349"/>
      <c r="G378" s="349"/>
      <c r="H378" s="349"/>
      <c r="I378" s="349"/>
      <c r="J378" s="349"/>
      <c r="K378" s="349"/>
      <c r="L378" s="349"/>
    </row>
    <row r="379" spans="4:12" s="161" customFormat="1" x14ac:dyDescent="0.2">
      <c r="D379" s="349"/>
      <c r="E379" s="349"/>
      <c r="F379" s="349"/>
      <c r="G379" s="349"/>
      <c r="H379" s="349"/>
      <c r="I379" s="349"/>
      <c r="J379" s="349"/>
      <c r="K379" s="349"/>
      <c r="L379" s="349"/>
    </row>
    <row r="380" spans="4:12" s="161" customFormat="1" x14ac:dyDescent="0.2">
      <c r="D380" s="349"/>
      <c r="E380" s="349"/>
      <c r="F380" s="349"/>
      <c r="G380" s="349"/>
      <c r="H380" s="349"/>
      <c r="I380" s="349"/>
      <c r="J380" s="349"/>
      <c r="K380" s="349"/>
      <c r="L380" s="349"/>
    </row>
    <row r="381" spans="4:12" s="161" customFormat="1" x14ac:dyDescent="0.2">
      <c r="D381" s="349"/>
      <c r="E381" s="349"/>
      <c r="F381" s="349"/>
      <c r="G381" s="349"/>
      <c r="H381" s="349"/>
      <c r="I381" s="349"/>
      <c r="J381" s="349"/>
      <c r="K381" s="349"/>
      <c r="L381" s="349"/>
    </row>
    <row r="382" spans="4:12" s="161" customFormat="1" x14ac:dyDescent="0.2">
      <c r="D382" s="349"/>
      <c r="E382" s="349"/>
      <c r="F382" s="349"/>
      <c r="G382" s="349"/>
      <c r="H382" s="349"/>
      <c r="I382" s="349"/>
      <c r="J382" s="349"/>
      <c r="K382" s="349"/>
      <c r="L382" s="349"/>
    </row>
    <row r="383" spans="4:12" s="161" customFormat="1" x14ac:dyDescent="0.2">
      <c r="D383" s="349"/>
      <c r="E383" s="349"/>
      <c r="F383" s="349"/>
      <c r="G383" s="349"/>
      <c r="H383" s="349"/>
      <c r="I383" s="349"/>
      <c r="J383" s="349"/>
      <c r="K383" s="349"/>
      <c r="L383" s="349"/>
    </row>
    <row r="384" spans="4:12" s="161" customFormat="1" x14ac:dyDescent="0.2">
      <c r="D384" s="349"/>
      <c r="E384" s="349"/>
      <c r="F384" s="349"/>
      <c r="G384" s="349"/>
      <c r="H384" s="349"/>
      <c r="I384" s="349"/>
      <c r="J384" s="349"/>
      <c r="K384" s="349"/>
      <c r="L384" s="349"/>
    </row>
    <row r="385" spans="4:12" s="161" customFormat="1" x14ac:dyDescent="0.2">
      <c r="D385" s="349"/>
      <c r="E385" s="349"/>
      <c r="F385" s="349"/>
      <c r="G385" s="349"/>
      <c r="H385" s="349"/>
      <c r="I385" s="349"/>
      <c r="J385" s="349"/>
      <c r="K385" s="349"/>
      <c r="L385" s="349"/>
    </row>
    <row r="386" spans="4:12" s="161" customFormat="1" x14ac:dyDescent="0.2">
      <c r="D386" s="349"/>
      <c r="E386" s="349"/>
      <c r="F386" s="349"/>
      <c r="G386" s="349"/>
      <c r="H386" s="349"/>
      <c r="I386" s="349"/>
      <c r="J386" s="349"/>
      <c r="K386" s="349"/>
      <c r="L386" s="349"/>
    </row>
    <row r="387" spans="4:12" s="161" customFormat="1" x14ac:dyDescent="0.2">
      <c r="D387" s="349"/>
      <c r="E387" s="349"/>
      <c r="F387" s="349"/>
      <c r="G387" s="349"/>
      <c r="H387" s="349"/>
      <c r="I387" s="349"/>
      <c r="J387" s="349"/>
      <c r="K387" s="349"/>
      <c r="L387" s="349"/>
    </row>
    <row r="388" spans="4:12" s="161" customFormat="1" x14ac:dyDescent="0.2">
      <c r="D388" s="349"/>
      <c r="E388" s="349"/>
      <c r="F388" s="349"/>
      <c r="G388" s="349"/>
      <c r="H388" s="349"/>
      <c r="I388" s="349"/>
      <c r="J388" s="349"/>
      <c r="K388" s="349"/>
      <c r="L388" s="349"/>
    </row>
    <row r="389" spans="4:12" s="161" customFormat="1" x14ac:dyDescent="0.2">
      <c r="D389" s="349"/>
      <c r="E389" s="349"/>
      <c r="F389" s="349"/>
      <c r="G389" s="349"/>
      <c r="H389" s="349"/>
      <c r="I389" s="349"/>
      <c r="J389" s="349"/>
      <c r="K389" s="349"/>
      <c r="L389" s="349"/>
    </row>
    <row r="390" spans="4:12" s="161" customFormat="1" x14ac:dyDescent="0.2">
      <c r="D390" s="349"/>
      <c r="E390" s="349"/>
      <c r="F390" s="349"/>
      <c r="G390" s="349"/>
      <c r="H390" s="349"/>
      <c r="I390" s="349"/>
      <c r="J390" s="349"/>
      <c r="K390" s="349"/>
      <c r="L390" s="349"/>
    </row>
    <row r="391" spans="4:12" s="161" customFormat="1" x14ac:dyDescent="0.2">
      <c r="D391" s="349"/>
      <c r="E391" s="349"/>
      <c r="F391" s="349"/>
      <c r="G391" s="349"/>
      <c r="H391" s="349"/>
      <c r="I391" s="349"/>
      <c r="J391" s="349"/>
      <c r="K391" s="349"/>
      <c r="L391" s="349"/>
    </row>
    <row r="392" spans="4:12" s="161" customFormat="1" x14ac:dyDescent="0.2">
      <c r="D392" s="349"/>
      <c r="E392" s="349"/>
      <c r="F392" s="349"/>
      <c r="G392" s="349"/>
      <c r="H392" s="349"/>
      <c r="I392" s="349"/>
      <c r="J392" s="349"/>
      <c r="K392" s="349"/>
      <c r="L392" s="349"/>
    </row>
    <row r="393" spans="4:12" s="161" customFormat="1" x14ac:dyDescent="0.2">
      <c r="D393" s="349"/>
      <c r="E393" s="349"/>
      <c r="F393" s="349"/>
      <c r="G393" s="349"/>
      <c r="H393" s="349"/>
      <c r="I393" s="349"/>
      <c r="J393" s="349"/>
      <c r="K393" s="349"/>
      <c r="L393" s="349"/>
    </row>
    <row r="394" spans="4:12" s="161" customFormat="1" x14ac:dyDescent="0.2">
      <c r="D394" s="349"/>
      <c r="E394" s="349"/>
      <c r="F394" s="349"/>
      <c r="G394" s="349"/>
      <c r="H394" s="349"/>
      <c r="I394" s="349"/>
      <c r="J394" s="349"/>
      <c r="K394" s="349"/>
      <c r="L394" s="349"/>
    </row>
    <row r="395" spans="4:12" s="161" customFormat="1" x14ac:dyDescent="0.2">
      <c r="D395" s="349"/>
      <c r="E395" s="349"/>
      <c r="F395" s="349"/>
      <c r="G395" s="349"/>
      <c r="H395" s="349"/>
      <c r="I395" s="349"/>
      <c r="J395" s="349"/>
      <c r="K395" s="349"/>
      <c r="L395" s="349"/>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3555-7E95-47E1-BD56-5480E09CBBA3}">
  <sheetPr>
    <tabColor rgb="FFE2EFDA"/>
  </sheetPr>
  <dimension ref="A1:J158"/>
  <sheetViews>
    <sheetView showGridLines="0" topLeftCell="A78" workbookViewId="0">
      <selection activeCell="A103" sqref="A103:XFD103"/>
    </sheetView>
  </sheetViews>
  <sheetFormatPr baseColWidth="10" defaultColWidth="7.6640625" defaultRowHeight="16" x14ac:dyDescent="0.2"/>
  <cols>
    <col min="1" max="1" width="25.5" style="32" bestFit="1" customWidth="1"/>
    <col min="2" max="2" width="8.5" style="32" bestFit="1" customWidth="1"/>
    <col min="3" max="3" width="8.5" style="32" customWidth="1"/>
  </cols>
  <sheetData>
    <row r="1" spans="1:5" ht="13.5" customHeight="1" x14ac:dyDescent="0.2">
      <c r="A1"/>
      <c r="B1"/>
      <c r="C1"/>
    </row>
    <row r="2" spans="1:5" s="37" customFormat="1" ht="11" x14ac:dyDescent="0.15">
      <c r="A2" s="230"/>
      <c r="B2" s="35"/>
      <c r="C2" s="36"/>
      <c r="D2" s="229"/>
    </row>
    <row r="3" spans="1:5" s="37" customFormat="1" ht="11" x14ac:dyDescent="0.15">
      <c r="A3" s="35"/>
      <c r="B3" s="35"/>
      <c r="C3" s="36"/>
      <c r="D3" s="229"/>
    </row>
    <row r="4" spans="1:5" s="37" customFormat="1" ht="11" x14ac:dyDescent="0.15">
      <c r="A4" s="35"/>
      <c r="B4" s="35"/>
      <c r="C4" s="36"/>
    </row>
    <row r="5" spans="1:5" x14ac:dyDescent="0.2">
      <c r="A5" s="84" t="s">
        <v>589</v>
      </c>
      <c r="B5" s="84" t="s">
        <v>47</v>
      </c>
      <c r="C5" s="86" t="s">
        <v>125</v>
      </c>
    </row>
    <row r="6" spans="1:5" x14ac:dyDescent="0.2">
      <c r="A6" s="313" t="s">
        <v>48</v>
      </c>
      <c r="B6" s="313" t="s">
        <v>50</v>
      </c>
      <c r="C6" s="85">
        <v>5.8762769580022702</v>
      </c>
      <c r="E6" s="259"/>
    </row>
    <row r="7" spans="1:5" x14ac:dyDescent="0.2">
      <c r="A7" s="313" t="s">
        <v>590</v>
      </c>
      <c r="B7" s="313" t="s">
        <v>591</v>
      </c>
      <c r="C7" s="85">
        <v>7.4366197183098599</v>
      </c>
      <c r="E7" s="259"/>
    </row>
    <row r="8" spans="1:5" x14ac:dyDescent="0.2">
      <c r="A8" s="313" t="s">
        <v>227</v>
      </c>
      <c r="B8" s="313" t="s">
        <v>228</v>
      </c>
      <c r="C8" s="85">
        <v>4.4801762114537445</v>
      </c>
      <c r="E8" s="259"/>
    </row>
    <row r="9" spans="1:5" x14ac:dyDescent="0.2">
      <c r="A9" s="297" t="s">
        <v>162</v>
      </c>
      <c r="B9" s="297" t="s">
        <v>163</v>
      </c>
      <c r="C9" s="85">
        <v>4.7894736842105257</v>
      </c>
      <c r="E9" s="259"/>
    </row>
    <row r="10" spans="1:5" x14ac:dyDescent="0.2">
      <c r="A10" s="313" t="s">
        <v>592</v>
      </c>
      <c r="B10" s="313" t="s">
        <v>593</v>
      </c>
      <c r="C10" s="85">
        <v>6.4173228346456694</v>
      </c>
      <c r="E10" s="259"/>
    </row>
    <row r="11" spans="1:5" x14ac:dyDescent="0.2">
      <c r="A11" s="297" t="s">
        <v>167</v>
      </c>
      <c r="B11" s="297" t="s">
        <v>168</v>
      </c>
      <c r="C11" s="85">
        <v>4.4108527131782944</v>
      </c>
      <c r="E11" s="259"/>
    </row>
    <row r="12" spans="1:5" x14ac:dyDescent="0.2">
      <c r="A12" s="313" t="s">
        <v>171</v>
      </c>
      <c r="B12" s="313" t="s">
        <v>172</v>
      </c>
      <c r="C12" s="85">
        <v>4.044776119402985</v>
      </c>
      <c r="E12" s="259"/>
    </row>
    <row r="13" spans="1:5" x14ac:dyDescent="0.2">
      <c r="A13" s="297" t="s">
        <v>594</v>
      </c>
      <c r="B13" s="297" t="s">
        <v>595</v>
      </c>
      <c r="C13" s="85">
        <v>9.9</v>
      </c>
      <c r="E13" s="259"/>
    </row>
    <row r="14" spans="1:5" x14ac:dyDescent="0.2">
      <c r="A14" s="297" t="s">
        <v>596</v>
      </c>
      <c r="B14" s="297" t="s">
        <v>597</v>
      </c>
      <c r="C14" s="85">
        <v>4.5555555555555554</v>
      </c>
      <c r="E14" s="259"/>
    </row>
    <row r="15" spans="1:5" x14ac:dyDescent="0.2">
      <c r="A15" s="313" t="s">
        <v>133</v>
      </c>
      <c r="B15" s="313" t="s">
        <v>134</v>
      </c>
      <c r="C15" s="85">
        <v>6.1339671564390663</v>
      </c>
      <c r="E15" s="259"/>
    </row>
    <row r="16" spans="1:5" x14ac:dyDescent="0.2">
      <c r="A16" s="297" t="s">
        <v>598</v>
      </c>
      <c r="B16" s="297" t="s">
        <v>599</v>
      </c>
      <c r="C16" s="85">
        <v>7.1754385964912277</v>
      </c>
      <c r="E16" s="259"/>
    </row>
    <row r="17" spans="1:5" x14ac:dyDescent="0.2">
      <c r="A17" s="313" t="s">
        <v>566</v>
      </c>
      <c r="B17" s="313" t="s">
        <v>567</v>
      </c>
      <c r="C17" s="85">
        <v>4.05</v>
      </c>
      <c r="E17" s="259"/>
    </row>
    <row r="18" spans="1:5" x14ac:dyDescent="0.2">
      <c r="A18" s="313" t="s">
        <v>600</v>
      </c>
      <c r="B18" s="313" t="s">
        <v>601</v>
      </c>
      <c r="C18" s="85">
        <v>3.5</v>
      </c>
      <c r="E18" s="259"/>
    </row>
    <row r="19" spans="1:5" x14ac:dyDescent="0.2">
      <c r="A19" s="297" t="s">
        <v>602</v>
      </c>
      <c r="B19" s="297" t="s">
        <v>603</v>
      </c>
      <c r="C19" s="85">
        <v>3.1609195402298851</v>
      </c>
      <c r="E19" s="259"/>
    </row>
    <row r="20" spans="1:5" x14ac:dyDescent="0.2">
      <c r="A20" s="313" t="s">
        <v>604</v>
      </c>
      <c r="B20" s="313" t="s">
        <v>605</v>
      </c>
      <c r="C20" s="85">
        <v>6.9069767441860463</v>
      </c>
      <c r="E20" s="259"/>
    </row>
    <row r="21" spans="1:5" x14ac:dyDescent="0.2">
      <c r="A21" s="313" t="s">
        <v>606</v>
      </c>
      <c r="B21" s="313" t="s">
        <v>607</v>
      </c>
      <c r="C21" s="85">
        <v>4.229268292682927</v>
      </c>
      <c r="E21" s="259"/>
    </row>
    <row r="22" spans="1:5" x14ac:dyDescent="0.2">
      <c r="A22" s="313" t="s">
        <v>608</v>
      </c>
      <c r="B22" s="313" t="s">
        <v>609</v>
      </c>
      <c r="C22" s="85">
        <v>4.8307692307692314</v>
      </c>
      <c r="E22" s="259"/>
    </row>
    <row r="23" spans="1:5" x14ac:dyDescent="0.2">
      <c r="A23" s="313" t="s">
        <v>610</v>
      </c>
      <c r="B23" s="313" t="s">
        <v>611</v>
      </c>
      <c r="C23" s="85">
        <v>4.6969696969696972</v>
      </c>
      <c r="E23" s="259"/>
    </row>
    <row r="24" spans="1:5" x14ac:dyDescent="0.2">
      <c r="A24" s="313" t="s">
        <v>181</v>
      </c>
      <c r="B24" s="313" t="s">
        <v>182</v>
      </c>
      <c r="C24" s="85">
        <v>4.8964143426294822</v>
      </c>
      <c r="E24" s="259"/>
    </row>
    <row r="25" spans="1:5" x14ac:dyDescent="0.2">
      <c r="A25" s="313" t="s">
        <v>98</v>
      </c>
      <c r="B25" s="313" t="s">
        <v>99</v>
      </c>
      <c r="C25" s="85">
        <v>3.729166666666667</v>
      </c>
      <c r="E25" s="259"/>
    </row>
    <row r="26" spans="1:5" x14ac:dyDescent="0.2">
      <c r="A26" s="297" t="s">
        <v>88</v>
      </c>
      <c r="B26" s="297" t="s">
        <v>89</v>
      </c>
      <c r="C26" s="85">
        <v>3.887052341597796</v>
      </c>
      <c r="E26" s="259"/>
    </row>
    <row r="27" spans="1:5" x14ac:dyDescent="0.2">
      <c r="A27" s="313" t="s">
        <v>612</v>
      </c>
      <c r="B27" s="313" t="s">
        <v>613</v>
      </c>
      <c r="C27" s="85">
        <v>4.8260869565217392</v>
      </c>
      <c r="E27" s="259"/>
    </row>
    <row r="28" spans="1:5" x14ac:dyDescent="0.2">
      <c r="A28" s="313" t="s">
        <v>614</v>
      </c>
      <c r="B28" s="313" t="s">
        <v>615</v>
      </c>
      <c r="C28" s="85">
        <v>4.9823008849557517</v>
      </c>
      <c r="E28" s="259"/>
    </row>
    <row r="29" spans="1:5" x14ac:dyDescent="0.2">
      <c r="A29" s="297" t="s">
        <v>92</v>
      </c>
      <c r="B29" s="297" t="s">
        <v>93</v>
      </c>
      <c r="C29" s="85">
        <v>4.3690851735015777</v>
      </c>
      <c r="E29" s="259"/>
    </row>
    <row r="30" spans="1:5" x14ac:dyDescent="0.2">
      <c r="A30" s="313" t="s">
        <v>616</v>
      </c>
      <c r="B30" s="313" t="s">
        <v>76</v>
      </c>
      <c r="C30" s="85">
        <v>3.8536585365853657</v>
      </c>
      <c r="E30" s="259"/>
    </row>
    <row r="31" spans="1:5" x14ac:dyDescent="0.2">
      <c r="A31" s="313" t="s">
        <v>67</v>
      </c>
      <c r="B31" s="313" t="s">
        <v>68</v>
      </c>
      <c r="C31" s="85">
        <v>4</v>
      </c>
      <c r="E31" s="259"/>
    </row>
    <row r="32" spans="1:5" x14ac:dyDescent="0.2">
      <c r="A32" s="313" t="s">
        <v>189</v>
      </c>
      <c r="B32" s="313" t="s">
        <v>190</v>
      </c>
      <c r="C32" s="85">
        <v>5.2679127725856691</v>
      </c>
      <c r="E32" s="259"/>
    </row>
    <row r="33" spans="1:5" x14ac:dyDescent="0.2">
      <c r="A33" s="313" t="s">
        <v>617</v>
      </c>
      <c r="B33" s="313" t="s">
        <v>618</v>
      </c>
      <c r="C33" s="85">
        <v>3.8484848484848486</v>
      </c>
      <c r="E33" s="259"/>
    </row>
    <row r="34" spans="1:5" x14ac:dyDescent="0.2">
      <c r="A34" s="313" t="s">
        <v>104</v>
      </c>
      <c r="B34" s="313" t="s">
        <v>105</v>
      </c>
      <c r="C34" s="85">
        <v>4.0561177552897885</v>
      </c>
      <c r="E34" s="259"/>
    </row>
    <row r="35" spans="1:5" x14ac:dyDescent="0.2">
      <c r="A35" s="313" t="s">
        <v>619</v>
      </c>
      <c r="B35" s="313" t="s">
        <v>620</v>
      </c>
      <c r="C35" s="85">
        <v>3.7</v>
      </c>
      <c r="E35" s="259"/>
    </row>
    <row r="36" spans="1:5" x14ac:dyDescent="0.2">
      <c r="A36" s="313" t="s">
        <v>202</v>
      </c>
      <c r="B36" s="313" t="s">
        <v>203</v>
      </c>
      <c r="C36" s="85">
        <v>4.4583333333333339</v>
      </c>
      <c r="E36" s="259"/>
    </row>
    <row r="37" spans="1:5" x14ac:dyDescent="0.2">
      <c r="A37" s="297" t="s">
        <v>210</v>
      </c>
      <c r="B37" s="297" t="s">
        <v>211</v>
      </c>
      <c r="C37" s="85">
        <v>5.5159420289855072</v>
      </c>
      <c r="E37" s="259"/>
    </row>
    <row r="38" spans="1:5" x14ac:dyDescent="0.2">
      <c r="A38" s="297" t="s">
        <v>621</v>
      </c>
      <c r="B38" s="297" t="s">
        <v>622</v>
      </c>
      <c r="C38" s="85">
        <v>4.3513513513513509</v>
      </c>
      <c r="E38" s="259"/>
    </row>
    <row r="39" spans="1:5" x14ac:dyDescent="0.2">
      <c r="A39" s="297" t="s">
        <v>623</v>
      </c>
      <c r="B39" s="297" t="s">
        <v>624</v>
      </c>
      <c r="C39" s="85">
        <v>5.1913043478260867</v>
      </c>
      <c r="E39" s="259"/>
    </row>
    <row r="40" spans="1:5" x14ac:dyDescent="0.2">
      <c r="A40" s="313" t="s">
        <v>625</v>
      </c>
      <c r="B40" s="313" t="s">
        <v>626</v>
      </c>
      <c r="C40" s="85">
        <v>3.4057971014492754</v>
      </c>
      <c r="E40" s="259"/>
    </row>
    <row r="41" spans="1:5" x14ac:dyDescent="0.2">
      <c r="A41" s="297" t="s">
        <v>627</v>
      </c>
      <c r="B41" s="297" t="s">
        <v>64</v>
      </c>
      <c r="C41" s="85">
        <v>4.2584269662921344</v>
      </c>
      <c r="E41" s="259"/>
    </row>
    <row r="42" spans="1:5" x14ac:dyDescent="0.2">
      <c r="A42" s="297" t="s">
        <v>214</v>
      </c>
      <c r="B42" s="297" t="s">
        <v>215</v>
      </c>
      <c r="C42" s="85">
        <v>4.0769230769230766</v>
      </c>
      <c r="E42" s="259"/>
    </row>
    <row r="43" spans="1:5" x14ac:dyDescent="0.2">
      <c r="A43" s="313" t="s">
        <v>223</v>
      </c>
      <c r="B43" s="313" t="s">
        <v>224</v>
      </c>
      <c r="C43" s="85">
        <v>5.7674418604651159</v>
      </c>
      <c r="E43" s="259"/>
    </row>
    <row r="44" spans="1:5" x14ac:dyDescent="0.2">
      <c r="A44" s="297" t="s">
        <v>235</v>
      </c>
      <c r="B44" s="297" t="s">
        <v>236</v>
      </c>
      <c r="C44" s="85">
        <v>4.4908485856905163</v>
      </c>
      <c r="E44" s="259"/>
    </row>
    <row r="45" spans="1:5" x14ac:dyDescent="0.2">
      <c r="A45" s="313" t="s">
        <v>237</v>
      </c>
      <c r="B45" s="313" t="s">
        <v>238</v>
      </c>
      <c r="C45" s="85">
        <v>6.2694610778443121</v>
      </c>
      <c r="E45" s="259"/>
    </row>
    <row r="46" spans="1:5" x14ac:dyDescent="0.2">
      <c r="A46" s="313" t="s">
        <v>114</v>
      </c>
      <c r="B46" s="313" t="s">
        <v>115</v>
      </c>
      <c r="C46" s="85">
        <v>4.051643192488263</v>
      </c>
      <c r="E46" s="259"/>
    </row>
    <row r="47" spans="1:5" x14ac:dyDescent="0.2">
      <c r="A47" s="297" t="s">
        <v>628</v>
      </c>
      <c r="B47" s="297" t="s">
        <v>629</v>
      </c>
      <c r="C47" s="85">
        <v>4.4482758620689653</v>
      </c>
      <c r="E47" s="259"/>
    </row>
    <row r="48" spans="1:5" x14ac:dyDescent="0.2">
      <c r="A48" s="313" t="s">
        <v>241</v>
      </c>
      <c r="B48" s="313" t="s">
        <v>242</v>
      </c>
      <c r="C48" s="85">
        <v>5.8000000000000007</v>
      </c>
      <c r="E48" s="259"/>
    </row>
    <row r="49" spans="1:5" x14ac:dyDescent="0.2">
      <c r="A49" s="313" t="s">
        <v>469</v>
      </c>
      <c r="B49" s="313" t="s">
        <v>470</v>
      </c>
      <c r="C49" s="85">
        <v>6.6521739130434785</v>
      </c>
      <c r="E49" s="259"/>
    </row>
    <row r="50" spans="1:5" x14ac:dyDescent="0.2">
      <c r="A50" s="313" t="s">
        <v>61</v>
      </c>
      <c r="B50" s="313" t="s">
        <v>62</v>
      </c>
      <c r="C50" s="85">
        <v>4.7929155313351499</v>
      </c>
      <c r="E50" s="259"/>
    </row>
    <row r="51" spans="1:5" x14ac:dyDescent="0.2">
      <c r="A51" s="313" t="s">
        <v>630</v>
      </c>
      <c r="B51" s="313" t="s">
        <v>631</v>
      </c>
      <c r="C51" s="85">
        <v>4.8</v>
      </c>
      <c r="E51" s="259"/>
    </row>
    <row r="52" spans="1:5" x14ac:dyDescent="0.2">
      <c r="A52" s="313" t="s">
        <v>632</v>
      </c>
      <c r="B52" s="313" t="s">
        <v>633</v>
      </c>
      <c r="C52" s="85">
        <v>4.3493975903614457</v>
      </c>
      <c r="E52" s="259"/>
    </row>
    <row r="53" spans="1:5" x14ac:dyDescent="0.2">
      <c r="A53" s="297" t="s">
        <v>634</v>
      </c>
      <c r="B53" s="297" t="s">
        <v>635</v>
      </c>
      <c r="C53" s="85" t="e">
        <v>#VALUE!</v>
      </c>
      <c r="E53" s="259"/>
    </row>
    <row r="54" spans="1:5" x14ac:dyDescent="0.2">
      <c r="A54" s="313" t="s">
        <v>636</v>
      </c>
      <c r="B54" s="313" t="s">
        <v>637</v>
      </c>
      <c r="C54" s="85">
        <v>5.6101694915254239</v>
      </c>
      <c r="E54" s="259"/>
    </row>
    <row r="55" spans="1:5" x14ac:dyDescent="0.2">
      <c r="A55" s="297" t="s">
        <v>638</v>
      </c>
      <c r="B55" s="297" t="s">
        <v>639</v>
      </c>
      <c r="C55" s="85">
        <v>4.4848484848484844</v>
      </c>
      <c r="E55" s="259"/>
    </row>
    <row r="56" spans="1:5" x14ac:dyDescent="0.2">
      <c r="A56" s="313" t="s">
        <v>257</v>
      </c>
      <c r="B56" s="313" t="s">
        <v>258</v>
      </c>
      <c r="C56" s="85">
        <v>3.2937062937062938</v>
      </c>
      <c r="E56" s="259"/>
    </row>
    <row r="57" spans="1:5" x14ac:dyDescent="0.2">
      <c r="A57" s="313" t="s">
        <v>102</v>
      </c>
      <c r="B57" s="313" t="s">
        <v>103</v>
      </c>
      <c r="C57" s="85">
        <v>3.8860759493670889</v>
      </c>
      <c r="E57" s="259"/>
    </row>
    <row r="58" spans="1:5" x14ac:dyDescent="0.2">
      <c r="A58" s="297" t="s">
        <v>640</v>
      </c>
      <c r="B58" s="297" t="s">
        <v>641</v>
      </c>
      <c r="C58" s="85">
        <v>4.0489913544668585</v>
      </c>
      <c r="E58" s="259"/>
    </row>
    <row r="59" spans="1:5" x14ac:dyDescent="0.2">
      <c r="A59" s="313" t="s">
        <v>642</v>
      </c>
      <c r="B59" s="313" t="s">
        <v>643</v>
      </c>
      <c r="C59" s="85">
        <v>5.041666666666667</v>
      </c>
      <c r="E59" s="259"/>
    </row>
    <row r="60" spans="1:5" x14ac:dyDescent="0.2">
      <c r="A60" s="313" t="s">
        <v>644</v>
      </c>
      <c r="B60" s="313" t="s">
        <v>645</v>
      </c>
      <c r="C60" s="85">
        <v>4.5342465753424657</v>
      </c>
      <c r="E60" s="259"/>
    </row>
    <row r="61" spans="1:5" x14ac:dyDescent="0.2">
      <c r="A61" s="297" t="s">
        <v>71</v>
      </c>
      <c r="B61" s="297" t="s">
        <v>72</v>
      </c>
      <c r="C61" s="85">
        <v>4.8271604938271606</v>
      </c>
      <c r="E61" s="259"/>
    </row>
    <row r="62" spans="1:5" x14ac:dyDescent="0.2">
      <c r="A62" s="313" t="s">
        <v>108</v>
      </c>
      <c r="B62" s="313" t="s">
        <v>109</v>
      </c>
      <c r="C62" s="85">
        <v>4.3884297520661155</v>
      </c>
      <c r="E62" s="259"/>
    </row>
    <row r="63" spans="1:5" x14ac:dyDescent="0.2">
      <c r="A63" s="313" t="s">
        <v>266</v>
      </c>
      <c r="B63" s="313" t="s">
        <v>267</v>
      </c>
      <c r="C63" s="85">
        <v>6.2307692307692308</v>
      </c>
      <c r="E63" s="259"/>
    </row>
    <row r="64" spans="1:5" x14ac:dyDescent="0.2">
      <c r="A64" s="313" t="s">
        <v>272</v>
      </c>
      <c r="B64" s="313" t="s">
        <v>273</v>
      </c>
      <c r="C64" s="85">
        <v>5.1692969870875176</v>
      </c>
      <c r="E64" s="259"/>
    </row>
    <row r="65" spans="1:5" x14ac:dyDescent="0.2">
      <c r="A65" s="297" t="s">
        <v>270</v>
      </c>
      <c r="B65" s="297" t="s">
        <v>271</v>
      </c>
      <c r="C65" s="85">
        <v>4.0495314591700131</v>
      </c>
      <c r="E65" s="259"/>
    </row>
    <row r="66" spans="1:5" x14ac:dyDescent="0.2">
      <c r="A66" s="297" t="s">
        <v>276</v>
      </c>
      <c r="B66" s="297" t="s">
        <v>277</v>
      </c>
      <c r="C66" s="85">
        <v>4.0729927007299267</v>
      </c>
      <c r="E66" s="259"/>
    </row>
    <row r="67" spans="1:5" x14ac:dyDescent="0.2">
      <c r="A67" s="313" t="s">
        <v>110</v>
      </c>
      <c r="B67" s="313" t="s">
        <v>111</v>
      </c>
      <c r="C67" s="85">
        <v>5.3090638930163445</v>
      </c>
      <c r="E67" s="259"/>
    </row>
    <row r="68" spans="1:5" x14ac:dyDescent="0.2">
      <c r="A68" s="313" t="s">
        <v>646</v>
      </c>
      <c r="B68" s="313" t="s">
        <v>647</v>
      </c>
      <c r="C68" s="85">
        <v>3.6086956521739131</v>
      </c>
      <c r="E68" s="259"/>
    </row>
    <row r="69" spans="1:5" x14ac:dyDescent="0.2">
      <c r="A69" s="313" t="s">
        <v>648</v>
      </c>
      <c r="B69" s="313" t="s">
        <v>649</v>
      </c>
      <c r="C69" s="85">
        <v>3</v>
      </c>
      <c r="E69" s="259"/>
    </row>
    <row r="70" spans="1:5" x14ac:dyDescent="0.2">
      <c r="A70" s="297" t="s">
        <v>289</v>
      </c>
      <c r="B70" s="297" t="s">
        <v>290</v>
      </c>
      <c r="C70" s="85">
        <v>5.4058919803600656</v>
      </c>
      <c r="E70" s="259"/>
    </row>
    <row r="71" spans="1:5" x14ac:dyDescent="0.2">
      <c r="A71" s="297" t="s">
        <v>650</v>
      </c>
      <c r="B71" s="297" t="s">
        <v>651</v>
      </c>
      <c r="C71" s="85">
        <v>4.12</v>
      </c>
      <c r="E71" s="259"/>
    </row>
    <row r="72" spans="1:5" x14ac:dyDescent="0.2">
      <c r="A72" s="313" t="s">
        <v>86</v>
      </c>
      <c r="B72" s="313" t="s">
        <v>87</v>
      </c>
      <c r="C72" s="85">
        <v>4.82</v>
      </c>
      <c r="E72" s="259"/>
    </row>
    <row r="73" spans="1:5" x14ac:dyDescent="0.2">
      <c r="A73" s="297" t="s">
        <v>652</v>
      </c>
      <c r="B73" s="297" t="s">
        <v>402</v>
      </c>
      <c r="C73" s="85">
        <v>4.4000000000000004</v>
      </c>
      <c r="E73" s="259"/>
    </row>
    <row r="74" spans="1:5" x14ac:dyDescent="0.2">
      <c r="A74" s="297" t="s">
        <v>653</v>
      </c>
      <c r="B74" s="297" t="s">
        <v>654</v>
      </c>
      <c r="C74" s="85">
        <v>5.258064516129032</v>
      </c>
      <c r="E74" s="259"/>
    </row>
    <row r="75" spans="1:5" x14ac:dyDescent="0.2">
      <c r="A75" s="313" t="s">
        <v>655</v>
      </c>
      <c r="B75" s="313" t="s">
        <v>656</v>
      </c>
      <c r="C75" s="85">
        <v>5.19277108433735</v>
      </c>
      <c r="E75" s="259"/>
    </row>
    <row r="76" spans="1:5" x14ac:dyDescent="0.2">
      <c r="A76" s="297" t="s">
        <v>572</v>
      </c>
      <c r="B76" s="297" t="s">
        <v>573</v>
      </c>
      <c r="C76" s="85">
        <v>4.7926829268292686</v>
      </c>
      <c r="E76" s="259"/>
    </row>
    <row r="77" spans="1:5" x14ac:dyDescent="0.2">
      <c r="A77" s="313" t="s">
        <v>112</v>
      </c>
      <c r="B77" s="313" t="s">
        <v>113</v>
      </c>
      <c r="C77" s="85">
        <v>4.3928773318258898</v>
      </c>
      <c r="E77" s="259"/>
    </row>
    <row r="78" spans="1:5" x14ac:dyDescent="0.2">
      <c r="A78" s="313" t="s">
        <v>308</v>
      </c>
      <c r="B78" s="313" t="s">
        <v>309</v>
      </c>
      <c r="C78" s="85">
        <v>5.169014084507042</v>
      </c>
      <c r="E78" s="259"/>
    </row>
    <row r="79" spans="1:5" x14ac:dyDescent="0.2">
      <c r="A79" s="297" t="s">
        <v>657</v>
      </c>
      <c r="B79" s="297" t="s">
        <v>658</v>
      </c>
      <c r="C79" s="85">
        <v>6.161290322580645</v>
      </c>
      <c r="E79" s="259"/>
    </row>
    <row r="80" spans="1:5" x14ac:dyDescent="0.2">
      <c r="A80" s="313" t="s">
        <v>84</v>
      </c>
      <c r="B80" s="313" t="s">
        <v>85</v>
      </c>
      <c r="C80" s="85">
        <v>5.5960264900662251</v>
      </c>
      <c r="E80" s="259"/>
    </row>
    <row r="81" spans="1:5" x14ac:dyDescent="0.2">
      <c r="A81" s="313" t="s">
        <v>81</v>
      </c>
      <c r="B81" s="313" t="s">
        <v>83</v>
      </c>
      <c r="C81" s="85">
        <v>5.104046242774567</v>
      </c>
      <c r="E81" s="259"/>
    </row>
    <row r="82" spans="1:5" x14ac:dyDescent="0.2">
      <c r="A82" s="313" t="s">
        <v>106</v>
      </c>
      <c r="B82" s="313" t="s">
        <v>107</v>
      </c>
      <c r="C82" s="85">
        <v>4.04089219330855</v>
      </c>
      <c r="E82" s="259"/>
    </row>
    <row r="83" spans="1:5" x14ac:dyDescent="0.2">
      <c r="A83" s="313" t="s">
        <v>353</v>
      </c>
      <c r="B83" s="313" t="s">
        <v>354</v>
      </c>
      <c r="C83" s="85">
        <v>4.0340909090909092</v>
      </c>
      <c r="E83" s="259"/>
    </row>
    <row r="84" spans="1:5" x14ac:dyDescent="0.2">
      <c r="A84" s="313" t="s">
        <v>659</v>
      </c>
      <c r="B84" s="313" t="s">
        <v>660</v>
      </c>
      <c r="C84" s="85">
        <v>4</v>
      </c>
      <c r="E84" s="259"/>
    </row>
    <row r="85" spans="1:5" x14ac:dyDescent="0.2">
      <c r="A85" s="313" t="s">
        <v>65</v>
      </c>
      <c r="B85" s="313" t="s">
        <v>66</v>
      </c>
      <c r="C85" s="85">
        <v>4.7215777262180971</v>
      </c>
      <c r="E85" s="259"/>
    </row>
    <row r="86" spans="1:5" x14ac:dyDescent="0.2">
      <c r="A86" s="313" t="s">
        <v>661</v>
      </c>
      <c r="B86" s="313" t="s">
        <v>662</v>
      </c>
      <c r="C86" s="85">
        <v>3</v>
      </c>
      <c r="E86" s="259"/>
    </row>
    <row r="87" spans="1:5" x14ac:dyDescent="0.2">
      <c r="A87" s="313" t="s">
        <v>345</v>
      </c>
      <c r="B87" s="313" t="s">
        <v>346</v>
      </c>
      <c r="C87" s="85">
        <v>5.8933333333333335</v>
      </c>
      <c r="E87" s="259"/>
    </row>
    <row r="88" spans="1:5" x14ac:dyDescent="0.2">
      <c r="A88" s="297" t="s">
        <v>663</v>
      </c>
      <c r="B88" s="297" t="s">
        <v>664</v>
      </c>
      <c r="C88" s="85">
        <v>5</v>
      </c>
      <c r="E88" s="259"/>
    </row>
    <row r="89" spans="1:5" x14ac:dyDescent="0.2">
      <c r="A89" s="313" t="s">
        <v>323</v>
      </c>
      <c r="B89" s="313" t="s">
        <v>324</v>
      </c>
      <c r="C89" s="85">
        <v>4.0682730923694779</v>
      </c>
      <c r="E89" s="259"/>
    </row>
    <row r="90" spans="1:5" x14ac:dyDescent="0.2">
      <c r="A90" s="313" t="s">
        <v>665</v>
      </c>
      <c r="B90" s="313" t="s">
        <v>666</v>
      </c>
      <c r="C90" s="85">
        <v>3.9333333333333336</v>
      </c>
      <c r="E90" s="259"/>
    </row>
    <row r="91" spans="1:5" x14ac:dyDescent="0.2">
      <c r="A91" s="313" t="s">
        <v>315</v>
      </c>
      <c r="B91" s="313" t="s">
        <v>316</v>
      </c>
      <c r="C91" s="85">
        <v>4.009615384615385</v>
      </c>
      <c r="E91" s="259"/>
    </row>
    <row r="92" spans="1:5" x14ac:dyDescent="0.2">
      <c r="A92" s="297" t="s">
        <v>667</v>
      </c>
      <c r="B92" s="297" t="s">
        <v>668</v>
      </c>
      <c r="C92" s="85">
        <v>5.0449438202247192</v>
      </c>
      <c r="E92" s="259"/>
    </row>
    <row r="93" spans="1:5" x14ac:dyDescent="0.2">
      <c r="A93" s="297" t="s">
        <v>669</v>
      </c>
      <c r="B93" s="297" t="s">
        <v>670</v>
      </c>
      <c r="C93" s="85">
        <v>6.1698113207547172</v>
      </c>
      <c r="E93" s="259"/>
    </row>
    <row r="94" spans="1:5" x14ac:dyDescent="0.2">
      <c r="A94" s="297" t="s">
        <v>312</v>
      </c>
      <c r="B94" s="297" t="s">
        <v>313</v>
      </c>
      <c r="C94" s="85">
        <v>5.5245901639344268</v>
      </c>
      <c r="E94" s="259"/>
    </row>
    <row r="95" spans="1:5" x14ac:dyDescent="0.2">
      <c r="A95" s="313" t="s">
        <v>100</v>
      </c>
      <c r="B95" s="313" t="s">
        <v>101</v>
      </c>
      <c r="C95" s="85">
        <v>5.2361111111111107</v>
      </c>
      <c r="E95" s="259"/>
    </row>
    <row r="96" spans="1:5" x14ac:dyDescent="0.2">
      <c r="A96" s="313" t="s">
        <v>69</v>
      </c>
      <c r="B96" s="313" t="s">
        <v>70</v>
      </c>
      <c r="C96" s="85">
        <v>6.2613636363636367</v>
      </c>
      <c r="E96" s="259"/>
    </row>
    <row r="97" spans="1:10" x14ac:dyDescent="0.2">
      <c r="A97" s="297" t="s">
        <v>357</v>
      </c>
      <c r="B97" s="297" t="s">
        <v>358</v>
      </c>
      <c r="C97" s="85">
        <v>4.5272727272727273</v>
      </c>
      <c r="E97" s="259"/>
    </row>
    <row r="98" spans="1:10" x14ac:dyDescent="0.2">
      <c r="A98" s="313" t="s">
        <v>671</v>
      </c>
      <c r="B98" s="313" t="s">
        <v>672</v>
      </c>
      <c r="C98" s="85">
        <v>7.3643724696356276</v>
      </c>
      <c r="E98" s="259"/>
    </row>
    <row r="99" spans="1:10" x14ac:dyDescent="0.2">
      <c r="A99" s="313" t="s">
        <v>377</v>
      </c>
      <c r="B99" s="313" t="s">
        <v>378</v>
      </c>
      <c r="C99" s="85">
        <v>4.3592233009708741</v>
      </c>
      <c r="E99" s="259"/>
    </row>
    <row r="100" spans="1:10" x14ac:dyDescent="0.2">
      <c r="A100" s="297" t="s">
        <v>90</v>
      </c>
      <c r="B100" s="297" t="s">
        <v>91</v>
      </c>
      <c r="C100" s="85">
        <v>4.1159420289855069</v>
      </c>
      <c r="E100" s="259"/>
    </row>
    <row r="101" spans="1:10" x14ac:dyDescent="0.2">
      <c r="A101" s="313" t="s">
        <v>79</v>
      </c>
      <c r="B101" s="313" t="s">
        <v>80</v>
      </c>
      <c r="C101" s="85">
        <v>3.9911504424778759</v>
      </c>
      <c r="E101" s="259"/>
      <c r="J101" s="231"/>
    </row>
    <row r="102" spans="1:10" x14ac:dyDescent="0.2">
      <c r="A102" s="313" t="s">
        <v>673</v>
      </c>
      <c r="B102" s="313" t="s">
        <v>674</v>
      </c>
      <c r="C102" s="85">
        <v>4.8181818181818183</v>
      </c>
      <c r="E102" s="259"/>
    </row>
    <row r="103" spans="1:10" x14ac:dyDescent="0.2">
      <c r="A103" s="313" t="s">
        <v>675</v>
      </c>
      <c r="B103" s="313" t="s">
        <v>78</v>
      </c>
      <c r="C103" s="85">
        <v>6.1937499999999996</v>
      </c>
      <c r="E103" s="259"/>
    </row>
    <row r="104" spans="1:10" x14ac:dyDescent="0.2">
      <c r="A104" s="313" t="s">
        <v>676</v>
      </c>
      <c r="B104" s="313"/>
      <c r="C104" s="85" t="e">
        <v>#N/A</v>
      </c>
      <c r="E104" s="259"/>
    </row>
    <row r="105" spans="1:10" x14ac:dyDescent="0.2">
      <c r="A105" s="297" t="s">
        <v>73</v>
      </c>
      <c r="B105" s="297" t="s">
        <v>74</v>
      </c>
      <c r="C105" s="85">
        <v>6.3675675675675674</v>
      </c>
      <c r="E105" s="259"/>
    </row>
    <row r="106" spans="1:10" x14ac:dyDescent="0.2">
      <c r="A106" s="313" t="s">
        <v>677</v>
      </c>
      <c r="B106" s="313" t="s">
        <v>678</v>
      </c>
      <c r="C106" s="85">
        <v>3</v>
      </c>
      <c r="E106" s="259"/>
    </row>
    <row r="107" spans="1:10" x14ac:dyDescent="0.2">
      <c r="A107" s="313" t="s">
        <v>386</v>
      </c>
      <c r="B107" s="313" t="s">
        <v>387</v>
      </c>
      <c r="C107" s="85">
        <v>5.0363636363636362</v>
      </c>
      <c r="E107" s="259"/>
    </row>
    <row r="108" spans="1:10" x14ac:dyDescent="0.2">
      <c r="A108" s="297" t="s">
        <v>578</v>
      </c>
      <c r="B108" s="297" t="s">
        <v>579</v>
      </c>
      <c r="C108" s="85">
        <v>4.8918918918918921</v>
      </c>
      <c r="E108" s="259"/>
    </row>
    <row r="109" spans="1:10" x14ac:dyDescent="0.2">
      <c r="A109" s="313" t="s">
        <v>679</v>
      </c>
      <c r="B109" s="313" t="s">
        <v>680</v>
      </c>
      <c r="C109" s="85">
        <v>3.8358208955223878</v>
      </c>
      <c r="E109" s="259"/>
    </row>
    <row r="110" spans="1:10" x14ac:dyDescent="0.2">
      <c r="A110" s="313" t="s">
        <v>390</v>
      </c>
      <c r="B110" s="313" t="s">
        <v>391</v>
      </c>
      <c r="C110" s="85">
        <v>4.4782608695652177</v>
      </c>
      <c r="E110" s="259"/>
    </row>
    <row r="111" spans="1:10" x14ac:dyDescent="0.2">
      <c r="A111" s="313" t="s">
        <v>392</v>
      </c>
      <c r="B111" s="313" t="s">
        <v>393</v>
      </c>
      <c r="C111" s="85">
        <v>4.8297872340425529</v>
      </c>
      <c r="E111" s="259"/>
    </row>
    <row r="112" spans="1:10" x14ac:dyDescent="0.2">
      <c r="A112" s="297" t="s">
        <v>397</v>
      </c>
      <c r="B112" s="297" t="s">
        <v>398</v>
      </c>
      <c r="C112" s="85">
        <v>3.4666666666666668</v>
      </c>
      <c r="E112" s="259"/>
    </row>
    <row r="113" spans="1:8" x14ac:dyDescent="0.2">
      <c r="A113" s="313" t="s">
        <v>442</v>
      </c>
      <c r="B113" s="313" t="s">
        <v>443</v>
      </c>
      <c r="C113" s="85">
        <v>3</v>
      </c>
      <c r="E113" s="259"/>
    </row>
    <row r="114" spans="1:8" x14ac:dyDescent="0.2">
      <c r="A114" s="313" t="s">
        <v>446</v>
      </c>
      <c r="B114" s="313" t="s">
        <v>447</v>
      </c>
      <c r="C114" s="85">
        <v>5.0255319148936168</v>
      </c>
      <c r="E114" s="259"/>
    </row>
    <row r="115" spans="1:8" x14ac:dyDescent="0.2">
      <c r="A115" s="297" t="s">
        <v>681</v>
      </c>
      <c r="B115" s="297" t="s">
        <v>682</v>
      </c>
      <c r="C115" s="85" t="e">
        <v>#VALUE!</v>
      </c>
      <c r="E115" s="259"/>
    </row>
    <row r="116" spans="1:8" x14ac:dyDescent="0.2">
      <c r="A116" s="297" t="s">
        <v>683</v>
      </c>
      <c r="B116" s="297" t="s">
        <v>684</v>
      </c>
      <c r="C116" s="85">
        <v>4.3658536585365857</v>
      </c>
      <c r="E116" s="259"/>
    </row>
    <row r="117" spans="1:8" x14ac:dyDescent="0.2">
      <c r="A117" s="297" t="s">
        <v>685</v>
      </c>
      <c r="B117" s="297" t="s">
        <v>686</v>
      </c>
      <c r="C117" s="85">
        <v>4.577464788732394</v>
      </c>
      <c r="E117" s="259"/>
    </row>
    <row r="118" spans="1:8" x14ac:dyDescent="0.2">
      <c r="A118" s="313" t="s">
        <v>687</v>
      </c>
      <c r="B118" s="313" t="s">
        <v>688</v>
      </c>
      <c r="C118" s="85">
        <v>5.882352941176471</v>
      </c>
      <c r="E118" s="259"/>
    </row>
    <row r="119" spans="1:8" x14ac:dyDescent="0.2">
      <c r="A119" s="297" t="s">
        <v>454</v>
      </c>
      <c r="B119" s="297" t="s">
        <v>455</v>
      </c>
      <c r="C119" s="85">
        <v>4.8578199052132707</v>
      </c>
      <c r="E119" s="259"/>
    </row>
    <row r="120" spans="1:8" x14ac:dyDescent="0.2">
      <c r="A120" s="297" t="s">
        <v>689</v>
      </c>
      <c r="B120" s="297" t="s">
        <v>690</v>
      </c>
      <c r="C120" s="85">
        <v>7.4130434782608701</v>
      </c>
      <c r="E120" s="259"/>
    </row>
    <row r="121" spans="1:8" x14ac:dyDescent="0.2">
      <c r="A121" s="313" t="s">
        <v>691</v>
      </c>
      <c r="B121" s="313" t="s">
        <v>692</v>
      </c>
      <c r="C121" s="85">
        <v>3</v>
      </c>
      <c r="E121" s="259"/>
    </row>
    <row r="122" spans="1:8" x14ac:dyDescent="0.2">
      <c r="A122" s="313" t="s">
        <v>693</v>
      </c>
      <c r="B122" s="313" t="s">
        <v>694</v>
      </c>
      <c r="C122" s="85">
        <v>5.5254901960784313</v>
      </c>
      <c r="E122" s="259"/>
    </row>
    <row r="123" spans="1:8" x14ac:dyDescent="0.2">
      <c r="A123" s="313" t="s">
        <v>695</v>
      </c>
      <c r="B123" s="313" t="s">
        <v>696</v>
      </c>
      <c r="C123" s="85" t="e">
        <v>#VALUE!</v>
      </c>
      <c r="E123" s="259"/>
      <c r="F123" s="33"/>
      <c r="G123" s="33"/>
      <c r="H123" s="33"/>
    </row>
    <row r="124" spans="1:8" x14ac:dyDescent="0.2">
      <c r="A124" s="314" t="s">
        <v>465</v>
      </c>
      <c r="B124" s="314" t="s">
        <v>466</v>
      </c>
      <c r="C124" s="85">
        <v>3.25</v>
      </c>
    </row>
    <row r="125" spans="1:8" x14ac:dyDescent="0.2">
      <c r="A125" s="314" t="s">
        <v>697</v>
      </c>
      <c r="B125" s="314" t="s">
        <v>698</v>
      </c>
      <c r="C125" s="85">
        <v>7.4210526315789469</v>
      </c>
    </row>
    <row r="126" spans="1:8" x14ac:dyDescent="0.2">
      <c r="A126" s="314" t="s">
        <v>57</v>
      </c>
      <c r="B126" s="314" t="s">
        <v>58</v>
      </c>
      <c r="C126" s="85">
        <v>5.4625407166123772</v>
      </c>
    </row>
    <row r="127" spans="1:8" x14ac:dyDescent="0.2">
      <c r="A127" s="314" t="s">
        <v>542</v>
      </c>
      <c r="B127" s="314" t="s">
        <v>699</v>
      </c>
      <c r="C127" s="85">
        <v>6.094736842105263</v>
      </c>
    </row>
    <row r="128" spans="1:8" x14ac:dyDescent="0.2">
      <c r="A128" s="314" t="s">
        <v>59</v>
      </c>
      <c r="B128" s="314" t="s">
        <v>60</v>
      </c>
      <c r="C128" s="85">
        <v>4.3048353188507358</v>
      </c>
    </row>
    <row r="129" spans="1:3" x14ac:dyDescent="0.2">
      <c r="A129" s="314" t="s">
        <v>306</v>
      </c>
      <c r="B129" s="314" t="s">
        <v>307</v>
      </c>
      <c r="C129" s="85">
        <v>5.3058823529411763</v>
      </c>
    </row>
    <row r="130" spans="1:3" x14ac:dyDescent="0.2">
      <c r="A130" s="314" t="s">
        <v>53</v>
      </c>
      <c r="B130" s="314" t="s">
        <v>54</v>
      </c>
      <c r="C130" s="85">
        <v>4.6617210682492587</v>
      </c>
    </row>
    <row r="131" spans="1:3" x14ac:dyDescent="0.2">
      <c r="A131" s="314" t="s">
        <v>700</v>
      </c>
      <c r="B131" s="314" t="s">
        <v>701</v>
      </c>
      <c r="C131" s="85">
        <v>5.279069767441861</v>
      </c>
    </row>
    <row r="132" spans="1:3" x14ac:dyDescent="0.2">
      <c r="A132" s="314" t="s">
        <v>55</v>
      </c>
      <c r="B132" s="314" t="s">
        <v>56</v>
      </c>
      <c r="C132" s="85">
        <v>4.618279569892473</v>
      </c>
    </row>
    <row r="133" spans="1:3" x14ac:dyDescent="0.2">
      <c r="A133" s="314" t="s">
        <v>702</v>
      </c>
      <c r="B133" s="314" t="s">
        <v>703</v>
      </c>
      <c r="C133" s="85">
        <v>4.9118942731277535</v>
      </c>
    </row>
    <row r="134" spans="1:3" x14ac:dyDescent="0.2">
      <c r="A134" s="314" t="s">
        <v>503</v>
      </c>
      <c r="B134" s="314" t="s">
        <v>504</v>
      </c>
      <c r="C134" s="85">
        <v>4.8260869565217392</v>
      </c>
    </row>
    <row r="135" spans="1:3" x14ac:dyDescent="0.2">
      <c r="A135" s="314" t="s">
        <v>480</v>
      </c>
      <c r="B135" s="314" t="s">
        <v>481</v>
      </c>
      <c r="C135" s="85">
        <v>5.8333333333333339</v>
      </c>
    </row>
    <row r="136" spans="1:3" x14ac:dyDescent="0.2">
      <c r="A136" s="314" t="s">
        <v>704</v>
      </c>
      <c r="B136" s="314" t="s">
        <v>587</v>
      </c>
      <c r="C136" s="85">
        <v>6.2110091743119273</v>
      </c>
    </row>
    <row r="137" spans="1:3" x14ac:dyDescent="0.2">
      <c r="A137" s="314" t="s">
        <v>705</v>
      </c>
      <c r="B137" s="314" t="s">
        <v>706</v>
      </c>
      <c r="C137" s="85">
        <v>3.4375</v>
      </c>
    </row>
    <row r="138" spans="1:3" x14ac:dyDescent="0.2">
      <c r="A138" s="314" t="s">
        <v>484</v>
      </c>
      <c r="B138" s="314" t="s">
        <v>485</v>
      </c>
      <c r="C138" s="85">
        <v>3</v>
      </c>
    </row>
    <row r="139" spans="1:3" x14ac:dyDescent="0.2">
      <c r="A139" s="314" t="s">
        <v>488</v>
      </c>
      <c r="B139" s="314" t="s">
        <v>489</v>
      </c>
      <c r="C139" s="85">
        <v>5.5925925925925926</v>
      </c>
    </row>
    <row r="140" spans="1:3" x14ac:dyDescent="0.2">
      <c r="A140" s="314" t="s">
        <v>492</v>
      </c>
      <c r="B140" s="314" t="s">
        <v>493</v>
      </c>
      <c r="C140" s="85">
        <v>5.1538461538461542</v>
      </c>
    </row>
    <row r="141" spans="1:3" x14ac:dyDescent="0.2">
      <c r="A141" s="314" t="s">
        <v>495</v>
      </c>
      <c r="B141" s="314" t="s">
        <v>496</v>
      </c>
      <c r="C141" s="85">
        <v>4.8611521418020676</v>
      </c>
    </row>
    <row r="142" spans="1:3" x14ac:dyDescent="0.2">
      <c r="A142" s="314" t="s">
        <v>707</v>
      </c>
      <c r="B142" s="314" t="s">
        <v>708</v>
      </c>
      <c r="C142" s="85">
        <v>4.75</v>
      </c>
    </row>
    <row r="143" spans="1:3" x14ac:dyDescent="0.2">
      <c r="A143" s="314" t="s">
        <v>509</v>
      </c>
      <c r="B143" s="314" t="s">
        <v>510</v>
      </c>
      <c r="C143" s="85">
        <v>4.3052631578947373</v>
      </c>
    </row>
    <row r="144" spans="1:3" x14ac:dyDescent="0.2">
      <c r="A144" s="314" t="s">
        <v>94</v>
      </c>
      <c r="B144" s="314" t="s">
        <v>95</v>
      </c>
      <c r="C144" s="85">
        <v>4.4543178973717144</v>
      </c>
    </row>
    <row r="145" spans="1:3" x14ac:dyDescent="0.2">
      <c r="A145" s="314" t="s">
        <v>709</v>
      </c>
      <c r="B145" s="314" t="s">
        <v>710</v>
      </c>
      <c r="C145" s="85">
        <v>6.6842105263157894</v>
      </c>
    </row>
    <row r="146" spans="1:3" x14ac:dyDescent="0.2">
      <c r="A146" s="314" t="s">
        <v>711</v>
      </c>
      <c r="B146" s="314" t="s">
        <v>712</v>
      </c>
      <c r="C146" s="85">
        <v>6.1111111111111107</v>
      </c>
    </row>
    <row r="147" spans="1:3" x14ac:dyDescent="0.2">
      <c r="A147" s="314" t="s">
        <v>713</v>
      </c>
      <c r="B147" s="314" t="s">
        <v>714</v>
      </c>
      <c r="C147" s="85">
        <v>3.9746835443037973</v>
      </c>
    </row>
    <row r="148" spans="1:3" x14ac:dyDescent="0.2">
      <c r="A148" s="314" t="s">
        <v>715</v>
      </c>
      <c r="B148" s="314" t="s">
        <v>716</v>
      </c>
      <c r="C148" s="85">
        <v>4.806451612903226</v>
      </c>
    </row>
    <row r="149" spans="1:3" x14ac:dyDescent="0.2">
      <c r="A149" s="314" t="s">
        <v>96</v>
      </c>
      <c r="B149" s="314" t="s">
        <v>97</v>
      </c>
      <c r="C149" s="85">
        <v>3.7191780821917808</v>
      </c>
    </row>
    <row r="150" spans="1:3" x14ac:dyDescent="0.2">
      <c r="A150" s="314" t="s">
        <v>543</v>
      </c>
      <c r="B150" s="314" t="s">
        <v>717</v>
      </c>
      <c r="C150" s="85">
        <v>4.4848484848484844</v>
      </c>
    </row>
    <row r="151" spans="1:3" x14ac:dyDescent="0.2">
      <c r="A151" s="314" t="s">
        <v>718</v>
      </c>
      <c r="B151" s="314" t="s">
        <v>719</v>
      </c>
      <c r="C151" s="85">
        <v>4.4237288135593218</v>
      </c>
    </row>
    <row r="152" spans="1:3" x14ac:dyDescent="0.2">
      <c r="A152" s="314" t="s">
        <v>51</v>
      </c>
      <c r="B152" s="314" t="s">
        <v>52</v>
      </c>
      <c r="C152" s="85">
        <v>5.2005420054200542</v>
      </c>
    </row>
    <row r="153" spans="1:3" x14ac:dyDescent="0.2">
      <c r="A153" s="314" t="s">
        <v>522</v>
      </c>
      <c r="B153" s="314" t="s">
        <v>523</v>
      </c>
      <c r="C153" s="85">
        <v>4.2146118721461185</v>
      </c>
    </row>
    <row r="154" spans="1:3" x14ac:dyDescent="0.2">
      <c r="A154" s="314" t="s">
        <v>526</v>
      </c>
      <c r="B154" s="314" t="s">
        <v>527</v>
      </c>
      <c r="C154" s="85">
        <v>4.8971962616822431</v>
      </c>
    </row>
    <row r="155" spans="1:3" x14ac:dyDescent="0.2">
      <c r="A155" s="314"/>
      <c r="B155" s="314"/>
    </row>
    <row r="156" spans="1:3" x14ac:dyDescent="0.2">
      <c r="A156" s="22" t="s">
        <v>720</v>
      </c>
    </row>
    <row r="157" spans="1:3" x14ac:dyDescent="0.2">
      <c r="A157" t="s">
        <v>721</v>
      </c>
    </row>
    <row r="158" spans="1:3" x14ac:dyDescent="0.2">
      <c r="A158" t="s">
        <v>722</v>
      </c>
    </row>
  </sheetData>
  <sheetProtection sheet="1" objects="1" scenarios="1"/>
  <autoFilter ref="A5:C123" xr:uid="{F1339EF0-3D40-4261-950A-CD83B3ED344B}">
    <sortState xmlns:xlrd2="http://schemas.microsoft.com/office/spreadsheetml/2017/richdata2" ref="A6:C123">
      <sortCondition ref="A5:A123"/>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9EF0-3D40-4261-950A-CD83B3ED344B}">
  <sheetPr>
    <tabColor rgb="FFE2EFDA"/>
  </sheetPr>
  <dimension ref="A1:C162"/>
  <sheetViews>
    <sheetView showGridLines="0" topLeftCell="A110" workbookViewId="0">
      <selection activeCell="A107" sqref="A107:XFD107"/>
    </sheetView>
  </sheetViews>
  <sheetFormatPr baseColWidth="10" defaultColWidth="7.6640625" defaultRowHeight="16" x14ac:dyDescent="0.2"/>
  <cols>
    <col min="1" max="1" width="25.5" style="32" bestFit="1" customWidth="1"/>
    <col min="2" max="2" width="8.5" style="32" bestFit="1" customWidth="1"/>
    <col min="3" max="3" width="8.5" style="32" customWidth="1"/>
  </cols>
  <sheetData>
    <row r="1" spans="1:3" x14ac:dyDescent="0.2">
      <c r="A1"/>
      <c r="B1"/>
      <c r="C1"/>
    </row>
    <row r="2" spans="1:3" s="37" customFormat="1" ht="11" x14ac:dyDescent="0.15">
      <c r="A2" s="35"/>
      <c r="B2" s="35"/>
      <c r="C2" s="36"/>
    </row>
    <row r="3" spans="1:3" s="37" customFormat="1" ht="11" x14ac:dyDescent="0.15">
      <c r="A3" s="35"/>
      <c r="B3" s="35"/>
      <c r="C3" s="36"/>
    </row>
    <row r="4" spans="1:3" s="37" customFormat="1" ht="11" x14ac:dyDescent="0.15">
      <c r="A4" s="35"/>
      <c r="B4" s="35"/>
      <c r="C4" s="36"/>
    </row>
    <row r="5" spans="1:3" x14ac:dyDescent="0.2">
      <c r="A5" s="84" t="s">
        <v>589</v>
      </c>
      <c r="B5" s="84" t="s">
        <v>47</v>
      </c>
      <c r="C5" s="86" t="s">
        <v>125</v>
      </c>
    </row>
    <row r="6" spans="1:3" x14ac:dyDescent="0.2">
      <c r="A6" s="298" t="s">
        <v>48</v>
      </c>
      <c r="B6" s="298" t="s">
        <v>50</v>
      </c>
      <c r="C6" s="85">
        <v>5.4067599949552276</v>
      </c>
    </row>
    <row r="7" spans="1:3" x14ac:dyDescent="0.2">
      <c r="A7" s="298" t="s">
        <v>590</v>
      </c>
      <c r="B7" s="298" t="s">
        <v>591</v>
      </c>
      <c r="C7" s="85">
        <v>4.8954616588419402</v>
      </c>
    </row>
    <row r="8" spans="1:3" x14ac:dyDescent="0.2">
      <c r="A8" s="298" t="s">
        <v>227</v>
      </c>
      <c r="B8" s="298" t="s">
        <v>228</v>
      </c>
      <c r="C8" s="85">
        <v>5.3075868820362215</v>
      </c>
    </row>
    <row r="9" spans="1:3" x14ac:dyDescent="0.2">
      <c r="A9" s="298" t="s">
        <v>162</v>
      </c>
      <c r="B9" s="298" t="s">
        <v>163</v>
      </c>
      <c r="C9" s="85">
        <v>5.2035087719298243</v>
      </c>
    </row>
    <row r="10" spans="1:3" x14ac:dyDescent="0.2">
      <c r="A10" s="298" t="s">
        <v>723</v>
      </c>
      <c r="B10" s="298" t="s">
        <v>724</v>
      </c>
      <c r="C10" s="85" t="e">
        <v>#N/A</v>
      </c>
    </row>
    <row r="11" spans="1:3" x14ac:dyDescent="0.2">
      <c r="A11" s="298" t="s">
        <v>592</v>
      </c>
      <c r="B11" s="298" t="s">
        <v>593</v>
      </c>
      <c r="C11" s="85">
        <v>5.8822397200349963</v>
      </c>
    </row>
    <row r="12" spans="1:3" x14ac:dyDescent="0.2">
      <c r="A12" s="298" t="s">
        <v>167</v>
      </c>
      <c r="B12" s="298" t="s">
        <v>168</v>
      </c>
      <c r="C12" s="85">
        <v>6.3322997416020668</v>
      </c>
    </row>
    <row r="13" spans="1:3" x14ac:dyDescent="0.2">
      <c r="A13" s="298" t="s">
        <v>725</v>
      </c>
      <c r="B13" s="298" t="s">
        <v>726</v>
      </c>
      <c r="C13" s="85" t="e">
        <v>#N/A</v>
      </c>
    </row>
    <row r="14" spans="1:3" x14ac:dyDescent="0.2">
      <c r="A14" s="298" t="s">
        <v>171</v>
      </c>
      <c r="B14" s="298" t="s">
        <v>172</v>
      </c>
      <c r="C14" s="85">
        <v>6.1217247097844112</v>
      </c>
    </row>
    <row r="15" spans="1:3" x14ac:dyDescent="0.2">
      <c r="A15" s="298" t="s">
        <v>594</v>
      </c>
      <c r="B15" s="298" t="s">
        <v>595</v>
      </c>
      <c r="C15" s="85">
        <v>9.9</v>
      </c>
    </row>
    <row r="16" spans="1:3" x14ac:dyDescent="0.2">
      <c r="A16" s="298" t="s">
        <v>596</v>
      </c>
      <c r="B16" s="298" t="s">
        <v>597</v>
      </c>
      <c r="C16" s="85">
        <v>3.8</v>
      </c>
    </row>
    <row r="17" spans="1:3" x14ac:dyDescent="0.2">
      <c r="A17" s="298" t="s">
        <v>133</v>
      </c>
      <c r="B17" s="298" t="s">
        <v>134</v>
      </c>
      <c r="C17" s="85">
        <v>5.6688178238740035</v>
      </c>
    </row>
    <row r="18" spans="1:3" x14ac:dyDescent="0.2">
      <c r="A18" s="298" t="s">
        <v>598</v>
      </c>
      <c r="B18" s="298" t="s">
        <v>599</v>
      </c>
      <c r="C18" s="85">
        <v>5.7103313840155945</v>
      </c>
    </row>
    <row r="19" spans="1:3" x14ac:dyDescent="0.2">
      <c r="A19" s="298" t="s">
        <v>566</v>
      </c>
      <c r="B19" s="298" t="s">
        <v>567</v>
      </c>
      <c r="C19" s="85">
        <v>4.5777777777777775</v>
      </c>
    </row>
    <row r="20" spans="1:3" x14ac:dyDescent="0.2">
      <c r="A20" s="298" t="s">
        <v>600</v>
      </c>
      <c r="B20" s="298" t="s">
        <v>601</v>
      </c>
      <c r="C20" s="85">
        <v>5.4666666666666659</v>
      </c>
    </row>
    <row r="21" spans="1:3" x14ac:dyDescent="0.2">
      <c r="A21" s="298" t="s">
        <v>602</v>
      </c>
      <c r="B21" s="298" t="s">
        <v>603</v>
      </c>
      <c r="C21" s="85">
        <v>5.5879948914431674</v>
      </c>
    </row>
    <row r="22" spans="1:3" x14ac:dyDescent="0.2">
      <c r="A22" s="298" t="s">
        <v>604</v>
      </c>
      <c r="B22" s="298" t="s">
        <v>605</v>
      </c>
      <c r="C22" s="85">
        <v>5.9705426356589149</v>
      </c>
    </row>
    <row r="23" spans="1:3" x14ac:dyDescent="0.2">
      <c r="A23" s="298" t="s">
        <v>606</v>
      </c>
      <c r="B23" s="298" t="s">
        <v>607</v>
      </c>
      <c r="C23" s="85">
        <v>4.5588075880758812</v>
      </c>
    </row>
    <row r="24" spans="1:3" x14ac:dyDescent="0.2">
      <c r="A24" s="298" t="s">
        <v>608</v>
      </c>
      <c r="B24" s="298" t="s">
        <v>609</v>
      </c>
      <c r="C24" s="85">
        <v>4.8769230769230765</v>
      </c>
    </row>
    <row r="25" spans="1:3" x14ac:dyDescent="0.2">
      <c r="A25" s="298" t="s">
        <v>610</v>
      </c>
      <c r="B25" s="298" t="s">
        <v>611</v>
      </c>
      <c r="C25" s="85">
        <v>4.978451178451178</v>
      </c>
    </row>
    <row r="26" spans="1:3" x14ac:dyDescent="0.2">
      <c r="A26" s="298" t="s">
        <v>181</v>
      </c>
      <c r="B26" s="298" t="s">
        <v>182</v>
      </c>
      <c r="C26" s="85">
        <v>5.5352810978308984</v>
      </c>
    </row>
    <row r="27" spans="1:3" x14ac:dyDescent="0.2">
      <c r="A27" s="298" t="s">
        <v>98</v>
      </c>
      <c r="B27" s="298" t="s">
        <v>99</v>
      </c>
      <c r="C27" s="85">
        <v>4.8802469135802466</v>
      </c>
    </row>
    <row r="28" spans="1:3" x14ac:dyDescent="0.2">
      <c r="A28" s="298" t="s">
        <v>88</v>
      </c>
      <c r="B28" s="298" t="s">
        <v>89</v>
      </c>
      <c r="C28" s="85">
        <v>5.2141414141414142</v>
      </c>
    </row>
    <row r="29" spans="1:3" x14ac:dyDescent="0.2">
      <c r="A29" s="298" t="s">
        <v>612</v>
      </c>
      <c r="B29" s="298" t="s">
        <v>613</v>
      </c>
      <c r="C29" s="85">
        <v>4.8144927536231883</v>
      </c>
    </row>
    <row r="30" spans="1:3" x14ac:dyDescent="0.2">
      <c r="A30" s="298" t="s">
        <v>614</v>
      </c>
      <c r="B30" s="298" t="s">
        <v>615</v>
      </c>
      <c r="C30" s="85">
        <v>6.6908554572271379</v>
      </c>
    </row>
    <row r="31" spans="1:3" x14ac:dyDescent="0.2">
      <c r="A31" s="298" t="s">
        <v>92</v>
      </c>
      <c r="B31" s="298" t="s">
        <v>93</v>
      </c>
      <c r="C31" s="85">
        <v>5.1739922888187868</v>
      </c>
    </row>
    <row r="32" spans="1:3" x14ac:dyDescent="0.2">
      <c r="A32" s="298" t="s">
        <v>616</v>
      </c>
      <c r="B32" s="298" t="s">
        <v>76</v>
      </c>
      <c r="C32" s="85">
        <v>5.1489912676904543</v>
      </c>
    </row>
    <row r="33" spans="1:3" x14ac:dyDescent="0.2">
      <c r="A33" s="298" t="s">
        <v>67</v>
      </c>
      <c r="B33" s="298" t="s">
        <v>68</v>
      </c>
      <c r="C33" s="85">
        <v>5.3873015873015877</v>
      </c>
    </row>
    <row r="34" spans="1:3" x14ac:dyDescent="0.2">
      <c r="A34" s="298" t="s">
        <v>189</v>
      </c>
      <c r="B34" s="298" t="s">
        <v>190</v>
      </c>
      <c r="C34" s="85">
        <v>5.5445482866043614</v>
      </c>
    </row>
    <row r="35" spans="1:3" x14ac:dyDescent="0.2">
      <c r="A35" s="298" t="s">
        <v>617</v>
      </c>
      <c r="B35" s="298" t="s">
        <v>618</v>
      </c>
      <c r="C35" s="85">
        <v>5.2814814814814808</v>
      </c>
    </row>
    <row r="36" spans="1:3" x14ac:dyDescent="0.2">
      <c r="A36" s="298" t="s">
        <v>104</v>
      </c>
      <c r="B36" s="298" t="s">
        <v>105</v>
      </c>
      <c r="C36" s="85">
        <v>4.4725953184094855</v>
      </c>
    </row>
    <row r="37" spans="1:3" x14ac:dyDescent="0.2">
      <c r="A37" s="298" t="s">
        <v>619</v>
      </c>
      <c r="B37" s="298" t="s">
        <v>620</v>
      </c>
      <c r="C37" s="85">
        <v>5.0962962962962957</v>
      </c>
    </row>
    <row r="38" spans="1:3" x14ac:dyDescent="0.2">
      <c r="A38" s="298" t="s">
        <v>202</v>
      </c>
      <c r="B38" s="298" t="s">
        <v>203</v>
      </c>
      <c r="C38" s="85">
        <v>5.2583333333333337</v>
      </c>
    </row>
    <row r="39" spans="1:3" x14ac:dyDescent="0.2">
      <c r="A39" s="298" t="s">
        <v>210</v>
      </c>
      <c r="B39" s="298" t="s">
        <v>211</v>
      </c>
      <c r="C39" s="85">
        <v>4.2508856682769727</v>
      </c>
    </row>
    <row r="40" spans="1:3" x14ac:dyDescent="0.2">
      <c r="A40" s="298" t="s">
        <v>621</v>
      </c>
      <c r="B40" s="298" t="s">
        <v>622</v>
      </c>
      <c r="C40" s="85">
        <v>5.6018018018018019</v>
      </c>
    </row>
    <row r="41" spans="1:3" x14ac:dyDescent="0.2">
      <c r="A41" s="298" t="s">
        <v>623</v>
      </c>
      <c r="B41" s="298" t="s">
        <v>624</v>
      </c>
      <c r="C41" s="85">
        <v>5.4231884057971014</v>
      </c>
    </row>
    <row r="42" spans="1:3" x14ac:dyDescent="0.2">
      <c r="A42" s="298" t="s">
        <v>625</v>
      </c>
      <c r="B42" s="298" t="s">
        <v>626</v>
      </c>
      <c r="C42" s="85">
        <v>4.3636070853462154</v>
      </c>
    </row>
    <row r="43" spans="1:3" x14ac:dyDescent="0.2">
      <c r="A43" s="298" t="s">
        <v>627</v>
      </c>
      <c r="B43" s="298" t="s">
        <v>64</v>
      </c>
      <c r="C43" s="85">
        <v>5.2810434325514155</v>
      </c>
    </row>
    <row r="44" spans="1:3" x14ac:dyDescent="0.2">
      <c r="A44" s="298" t="s">
        <v>214</v>
      </c>
      <c r="B44" s="298" t="s">
        <v>215</v>
      </c>
      <c r="C44" s="85">
        <v>3.8</v>
      </c>
    </row>
    <row r="45" spans="1:3" x14ac:dyDescent="0.2">
      <c r="A45" s="298" t="s">
        <v>223</v>
      </c>
      <c r="B45" s="298" t="s">
        <v>727</v>
      </c>
      <c r="C45" s="85">
        <v>3.8</v>
      </c>
    </row>
    <row r="46" spans="1:3" x14ac:dyDescent="0.2">
      <c r="A46" s="298" t="s">
        <v>223</v>
      </c>
      <c r="B46" s="298" t="s">
        <v>224</v>
      </c>
      <c r="C46" s="85">
        <v>5.2470284237726093</v>
      </c>
    </row>
    <row r="47" spans="1:3" x14ac:dyDescent="0.2">
      <c r="A47" s="298" t="s">
        <v>235</v>
      </c>
      <c r="B47" s="298" t="s">
        <v>236</v>
      </c>
      <c r="C47" s="85">
        <v>4.3953041227583656</v>
      </c>
    </row>
    <row r="48" spans="1:3" x14ac:dyDescent="0.2">
      <c r="A48" s="298" t="s">
        <v>237</v>
      </c>
      <c r="B48" s="298" t="s">
        <v>238</v>
      </c>
      <c r="C48" s="85">
        <v>5.0574850299401195</v>
      </c>
    </row>
    <row r="49" spans="1:3" x14ac:dyDescent="0.2">
      <c r="A49" s="298" t="s">
        <v>114</v>
      </c>
      <c r="B49" s="298" t="s">
        <v>115</v>
      </c>
      <c r="C49" s="85">
        <v>4.2381846635367761</v>
      </c>
    </row>
    <row r="50" spans="1:3" x14ac:dyDescent="0.2">
      <c r="A50" s="298" t="s">
        <v>628</v>
      </c>
      <c r="B50" s="298" t="s">
        <v>629</v>
      </c>
      <c r="C50" s="85">
        <v>5.6773946360153253</v>
      </c>
    </row>
    <row r="51" spans="1:3" x14ac:dyDescent="0.2">
      <c r="A51" s="298" t="s">
        <v>241</v>
      </c>
      <c r="B51" s="298" t="s">
        <v>242</v>
      </c>
      <c r="C51" s="85">
        <v>4.4222222222222225</v>
      </c>
    </row>
    <row r="52" spans="1:3" x14ac:dyDescent="0.2">
      <c r="A52" s="298" t="s">
        <v>469</v>
      </c>
      <c r="B52" s="298" t="s">
        <v>470</v>
      </c>
      <c r="C52" s="85">
        <v>4.4763285024154591</v>
      </c>
    </row>
    <row r="53" spans="1:3" x14ac:dyDescent="0.2">
      <c r="A53" s="298" t="s">
        <v>61</v>
      </c>
      <c r="B53" s="298" t="s">
        <v>62</v>
      </c>
      <c r="C53" s="85">
        <v>5.1775355737208599</v>
      </c>
    </row>
    <row r="54" spans="1:3" x14ac:dyDescent="0.2">
      <c r="A54" s="298" t="s">
        <v>630</v>
      </c>
      <c r="B54" s="298" t="s">
        <v>631</v>
      </c>
      <c r="C54" s="85">
        <v>4.8</v>
      </c>
    </row>
    <row r="55" spans="1:3" x14ac:dyDescent="0.2">
      <c r="A55" s="298" t="s">
        <v>632</v>
      </c>
      <c r="B55" s="298" t="s">
        <v>633</v>
      </c>
      <c r="C55" s="85">
        <v>6.2364123159303881</v>
      </c>
    </row>
    <row r="56" spans="1:3" x14ac:dyDescent="0.2">
      <c r="A56" s="298" t="s">
        <v>634</v>
      </c>
      <c r="B56" s="298" t="s">
        <v>635</v>
      </c>
      <c r="C56" s="85" t="e">
        <v>#VALUE!</v>
      </c>
    </row>
    <row r="57" spans="1:3" x14ac:dyDescent="0.2">
      <c r="A57" s="298" t="s">
        <v>636</v>
      </c>
      <c r="B57" s="298" t="s">
        <v>637</v>
      </c>
      <c r="C57" s="85">
        <v>4.9864406779661019</v>
      </c>
    </row>
    <row r="58" spans="1:3" x14ac:dyDescent="0.2">
      <c r="A58" s="298" t="s">
        <v>638</v>
      </c>
      <c r="B58" s="298" t="s">
        <v>639</v>
      </c>
      <c r="C58" s="85">
        <v>4.8213243546576878</v>
      </c>
    </row>
    <row r="59" spans="1:3" x14ac:dyDescent="0.2">
      <c r="A59" s="298" t="s">
        <v>257</v>
      </c>
      <c r="B59" s="298" t="s">
        <v>258</v>
      </c>
      <c r="C59" s="85">
        <v>4.1263403263403262</v>
      </c>
    </row>
    <row r="60" spans="1:3" x14ac:dyDescent="0.2">
      <c r="A60" s="298" t="s">
        <v>728</v>
      </c>
      <c r="B60" s="298" t="s">
        <v>729</v>
      </c>
      <c r="C60" s="85">
        <v>3.8</v>
      </c>
    </row>
    <row r="61" spans="1:3" x14ac:dyDescent="0.2">
      <c r="A61" s="298" t="s">
        <v>102</v>
      </c>
      <c r="B61" s="298" t="s">
        <v>103</v>
      </c>
      <c r="C61" s="85">
        <v>4.456352555086732</v>
      </c>
    </row>
    <row r="62" spans="1:3" x14ac:dyDescent="0.2">
      <c r="A62" s="298" t="s">
        <v>640</v>
      </c>
      <c r="B62" s="298" t="s">
        <v>641</v>
      </c>
      <c r="C62" s="85">
        <v>5.6828049951969257</v>
      </c>
    </row>
    <row r="63" spans="1:3" x14ac:dyDescent="0.2">
      <c r="A63" s="298" t="s">
        <v>642</v>
      </c>
      <c r="B63" s="298" t="s">
        <v>643</v>
      </c>
      <c r="C63" s="85">
        <v>6.3925925925925924</v>
      </c>
    </row>
    <row r="64" spans="1:3" x14ac:dyDescent="0.2">
      <c r="A64" s="298" t="s">
        <v>644</v>
      </c>
      <c r="B64" s="298" t="s">
        <v>645</v>
      </c>
      <c r="C64" s="85">
        <v>4.4392694063926941</v>
      </c>
    </row>
    <row r="65" spans="1:3" x14ac:dyDescent="0.2">
      <c r="A65" s="298" t="s">
        <v>71</v>
      </c>
      <c r="B65" s="298" t="s">
        <v>72</v>
      </c>
      <c r="C65" s="85">
        <v>5.5009602194787375</v>
      </c>
    </row>
    <row r="66" spans="1:3" x14ac:dyDescent="0.2">
      <c r="A66" s="298" t="s">
        <v>108</v>
      </c>
      <c r="B66" s="298" t="s">
        <v>109</v>
      </c>
      <c r="C66" s="85">
        <v>5.0427303336394242</v>
      </c>
    </row>
    <row r="67" spans="1:3" x14ac:dyDescent="0.2">
      <c r="A67" s="298" t="s">
        <v>266</v>
      </c>
      <c r="B67" s="298" t="s">
        <v>267</v>
      </c>
      <c r="C67" s="85">
        <v>6.1931623931623934</v>
      </c>
    </row>
    <row r="68" spans="1:3" x14ac:dyDescent="0.2">
      <c r="A68" s="298" t="s">
        <v>272</v>
      </c>
      <c r="B68" s="298" t="s">
        <v>273</v>
      </c>
      <c r="C68" s="85">
        <v>5.1613900844890797</v>
      </c>
    </row>
    <row r="69" spans="1:3" x14ac:dyDescent="0.2">
      <c r="A69" s="298" t="s">
        <v>270</v>
      </c>
      <c r="B69" s="298" t="s">
        <v>271</v>
      </c>
      <c r="C69" s="85">
        <v>5.070266250185929</v>
      </c>
    </row>
    <row r="70" spans="1:3" x14ac:dyDescent="0.2">
      <c r="A70" s="298" t="s">
        <v>276</v>
      </c>
      <c r="B70" s="298" t="s">
        <v>277</v>
      </c>
      <c r="C70" s="85">
        <v>4.9354420113544197</v>
      </c>
    </row>
    <row r="71" spans="1:3" x14ac:dyDescent="0.2">
      <c r="A71" s="298" t="s">
        <v>110</v>
      </c>
      <c r="B71" s="298" t="s">
        <v>111</v>
      </c>
      <c r="C71" s="85">
        <v>5.0943701502393921</v>
      </c>
    </row>
    <row r="72" spans="1:3" x14ac:dyDescent="0.2">
      <c r="A72" s="298" t="s">
        <v>646</v>
      </c>
      <c r="B72" s="298" t="s">
        <v>647</v>
      </c>
      <c r="C72" s="85">
        <v>4.4763285024154591</v>
      </c>
    </row>
    <row r="73" spans="1:3" x14ac:dyDescent="0.2">
      <c r="A73" s="298" t="s">
        <v>648</v>
      </c>
      <c r="B73" s="298" t="s">
        <v>649</v>
      </c>
      <c r="C73" s="85">
        <v>3.8</v>
      </c>
    </row>
    <row r="74" spans="1:3" x14ac:dyDescent="0.2">
      <c r="A74" s="298" t="s">
        <v>289</v>
      </c>
      <c r="B74" s="298" t="s">
        <v>290</v>
      </c>
      <c r="C74" s="85">
        <v>5.0729587197672306</v>
      </c>
    </row>
    <row r="75" spans="1:3" x14ac:dyDescent="0.2">
      <c r="A75" s="298" t="s">
        <v>650</v>
      </c>
      <c r="B75" s="298" t="s">
        <v>651</v>
      </c>
      <c r="C75" s="85">
        <v>5.2518518518518515</v>
      </c>
    </row>
    <row r="76" spans="1:3" x14ac:dyDescent="0.2">
      <c r="A76" s="298" t="s">
        <v>86</v>
      </c>
      <c r="B76" s="298" t="s">
        <v>87</v>
      </c>
      <c r="C76" s="85">
        <v>4.9333333333333327</v>
      </c>
    </row>
    <row r="77" spans="1:3" x14ac:dyDescent="0.2">
      <c r="A77" s="298" t="s">
        <v>652</v>
      </c>
      <c r="B77" s="298" t="s">
        <v>402</v>
      </c>
      <c r="C77" s="85">
        <v>3.8</v>
      </c>
    </row>
    <row r="78" spans="1:3" x14ac:dyDescent="0.2">
      <c r="A78" s="298" t="s">
        <v>653</v>
      </c>
      <c r="B78" s="298" t="s">
        <v>654</v>
      </c>
      <c r="C78" s="85">
        <v>5.3053763440860218</v>
      </c>
    </row>
    <row r="79" spans="1:3" x14ac:dyDescent="0.2">
      <c r="A79" s="298" t="s">
        <v>655</v>
      </c>
      <c r="B79" s="298" t="s">
        <v>656</v>
      </c>
      <c r="C79" s="85">
        <v>4.2685408299866134</v>
      </c>
    </row>
    <row r="80" spans="1:3" x14ac:dyDescent="0.2">
      <c r="A80" s="298" t="s">
        <v>572</v>
      </c>
      <c r="B80" s="298" t="s">
        <v>573</v>
      </c>
      <c r="C80" s="85">
        <v>8.0682926829268293</v>
      </c>
    </row>
    <row r="81" spans="1:3" x14ac:dyDescent="0.2">
      <c r="A81" s="298" t="s">
        <v>112</v>
      </c>
      <c r="B81" s="298" t="s">
        <v>113</v>
      </c>
      <c r="C81" s="85">
        <v>5.4883361597889575</v>
      </c>
    </row>
    <row r="82" spans="1:3" x14ac:dyDescent="0.2">
      <c r="A82" s="298" t="s">
        <v>308</v>
      </c>
      <c r="B82" s="298" t="s">
        <v>309</v>
      </c>
      <c r="C82" s="85">
        <v>4.8954616588419402</v>
      </c>
    </row>
    <row r="83" spans="1:3" x14ac:dyDescent="0.2">
      <c r="A83" s="298" t="s">
        <v>657</v>
      </c>
      <c r="B83" s="298" t="s">
        <v>658</v>
      </c>
      <c r="C83" s="85">
        <v>5.1381123058542411</v>
      </c>
    </row>
    <row r="84" spans="1:3" x14ac:dyDescent="0.2">
      <c r="A84" s="298" t="s">
        <v>84</v>
      </c>
      <c r="B84" s="298" t="s">
        <v>85</v>
      </c>
      <c r="C84" s="85">
        <v>5.4482707873436347</v>
      </c>
    </row>
    <row r="85" spans="1:3" x14ac:dyDescent="0.2">
      <c r="A85" s="298" t="s">
        <v>81</v>
      </c>
      <c r="B85" s="298" t="s">
        <v>83</v>
      </c>
      <c r="C85" s="85">
        <v>5.0588310854206808</v>
      </c>
    </row>
    <row r="86" spans="1:3" x14ac:dyDescent="0.2">
      <c r="A86" s="298" t="s">
        <v>106</v>
      </c>
      <c r="B86" s="298" t="s">
        <v>107</v>
      </c>
      <c r="C86" s="85">
        <v>4.8408921933085498</v>
      </c>
    </row>
    <row r="87" spans="1:3" x14ac:dyDescent="0.2">
      <c r="A87" s="298" t="s">
        <v>353</v>
      </c>
      <c r="B87" s="298" t="s">
        <v>354</v>
      </c>
      <c r="C87" s="85">
        <v>4.8606060606060604</v>
      </c>
    </row>
    <row r="88" spans="1:3" x14ac:dyDescent="0.2">
      <c r="A88" s="298" t="s">
        <v>659</v>
      </c>
      <c r="B88" s="298" t="s">
        <v>660</v>
      </c>
      <c r="C88" s="85">
        <v>4.6888888888888891</v>
      </c>
    </row>
    <row r="89" spans="1:3" x14ac:dyDescent="0.2">
      <c r="A89" s="298" t="s">
        <v>65</v>
      </c>
      <c r="B89" s="298" t="s">
        <v>66</v>
      </c>
      <c r="C89" s="85">
        <v>5.3880381541634437</v>
      </c>
    </row>
    <row r="90" spans="1:3" x14ac:dyDescent="0.2">
      <c r="A90" s="298" t="s">
        <v>661</v>
      </c>
      <c r="B90" s="298" t="s">
        <v>662</v>
      </c>
      <c r="C90" s="85">
        <v>9.9</v>
      </c>
    </row>
    <row r="91" spans="1:3" x14ac:dyDescent="0.2">
      <c r="A91" s="298" t="s">
        <v>345</v>
      </c>
      <c r="B91" s="298" t="s">
        <v>346</v>
      </c>
      <c r="C91" s="85">
        <v>5.4592592592592597</v>
      </c>
    </row>
    <row r="92" spans="1:3" x14ac:dyDescent="0.2">
      <c r="A92" s="298" t="s">
        <v>663</v>
      </c>
      <c r="B92" s="298" t="s">
        <v>664</v>
      </c>
      <c r="C92" s="85">
        <v>6.0222222222222221</v>
      </c>
    </row>
    <row r="93" spans="1:3" x14ac:dyDescent="0.2">
      <c r="A93" s="298" t="s">
        <v>323</v>
      </c>
      <c r="B93" s="298" t="s">
        <v>324</v>
      </c>
      <c r="C93" s="85">
        <v>4.9869701026327533</v>
      </c>
    </row>
    <row r="94" spans="1:3" x14ac:dyDescent="0.2">
      <c r="A94" s="298" t="s">
        <v>665</v>
      </c>
      <c r="B94" s="298" t="s">
        <v>666</v>
      </c>
      <c r="C94" s="85">
        <v>3.8</v>
      </c>
    </row>
    <row r="95" spans="1:3" x14ac:dyDescent="0.2">
      <c r="A95" s="298" t="s">
        <v>315</v>
      </c>
      <c r="B95" s="298" t="s">
        <v>316</v>
      </c>
      <c r="C95" s="85">
        <v>4.8470085470085467</v>
      </c>
    </row>
    <row r="96" spans="1:3" x14ac:dyDescent="0.2">
      <c r="A96" s="298" t="s">
        <v>667</v>
      </c>
      <c r="B96" s="298" t="s">
        <v>668</v>
      </c>
      <c r="C96" s="85">
        <v>5.023470661672909</v>
      </c>
    </row>
    <row r="97" spans="1:3" x14ac:dyDescent="0.2">
      <c r="A97" s="298" t="s">
        <v>669</v>
      </c>
      <c r="B97" s="298" t="s">
        <v>670</v>
      </c>
      <c r="C97" s="85">
        <v>3.8</v>
      </c>
    </row>
    <row r="98" spans="1:3" x14ac:dyDescent="0.2">
      <c r="A98" s="298" t="s">
        <v>312</v>
      </c>
      <c r="B98" s="298" t="s">
        <v>313</v>
      </c>
      <c r="C98" s="85">
        <v>5.2025500910746807</v>
      </c>
    </row>
    <row r="99" spans="1:3" x14ac:dyDescent="0.2">
      <c r="A99" s="298" t="s">
        <v>100</v>
      </c>
      <c r="B99" s="298" t="s">
        <v>101</v>
      </c>
      <c r="C99" s="85">
        <v>6.1765432098765425</v>
      </c>
    </row>
    <row r="100" spans="1:3" x14ac:dyDescent="0.2">
      <c r="A100" s="298" t="s">
        <v>69</v>
      </c>
      <c r="B100" s="298" t="s">
        <v>70</v>
      </c>
      <c r="C100" s="85">
        <v>5.2141414141414142</v>
      </c>
    </row>
    <row r="101" spans="1:3" x14ac:dyDescent="0.2">
      <c r="A101" s="298" t="s">
        <v>357</v>
      </c>
      <c r="B101" s="298" t="s">
        <v>358</v>
      </c>
      <c r="C101" s="85">
        <v>4.3656565656565656</v>
      </c>
    </row>
    <row r="102" spans="1:3" x14ac:dyDescent="0.2">
      <c r="A102" s="298" t="s">
        <v>671</v>
      </c>
      <c r="B102" s="298" t="s">
        <v>672</v>
      </c>
      <c r="C102" s="85">
        <v>5.5004048582995946</v>
      </c>
    </row>
    <row r="103" spans="1:3" x14ac:dyDescent="0.2">
      <c r="A103" s="298" t="s">
        <v>377</v>
      </c>
      <c r="B103" s="298" t="s">
        <v>378</v>
      </c>
      <c r="C103" s="85">
        <v>5.0081984897518881</v>
      </c>
    </row>
    <row r="104" spans="1:3" x14ac:dyDescent="0.2">
      <c r="A104" s="298" t="s">
        <v>90</v>
      </c>
      <c r="B104" s="298" t="s">
        <v>91</v>
      </c>
      <c r="C104" s="85">
        <v>5.5471819645732685</v>
      </c>
    </row>
    <row r="105" spans="1:3" x14ac:dyDescent="0.2">
      <c r="A105" s="298" t="s">
        <v>79</v>
      </c>
      <c r="B105" s="298" t="s">
        <v>80</v>
      </c>
      <c r="C105" s="85">
        <v>4.7636184857423798</v>
      </c>
    </row>
    <row r="106" spans="1:3" x14ac:dyDescent="0.2">
      <c r="A106" s="298" t="s">
        <v>673</v>
      </c>
      <c r="B106" s="298" t="s">
        <v>674</v>
      </c>
      <c r="C106" s="85">
        <v>6.0222222222222221</v>
      </c>
    </row>
    <row r="107" spans="1:3" x14ac:dyDescent="0.2">
      <c r="A107" s="298" t="s">
        <v>675</v>
      </c>
      <c r="B107" s="298" t="s">
        <v>78</v>
      </c>
      <c r="C107" s="85">
        <v>5.4851851851851849</v>
      </c>
    </row>
    <row r="108" spans="1:3" x14ac:dyDescent="0.2">
      <c r="A108" s="298" t="s">
        <v>676</v>
      </c>
      <c r="B108" s="298"/>
      <c r="C108" s="85" t="e">
        <v>#N/A</v>
      </c>
    </row>
    <row r="109" spans="1:3" x14ac:dyDescent="0.2">
      <c r="A109" s="298" t="s">
        <v>73</v>
      </c>
      <c r="B109" s="298" t="s">
        <v>74</v>
      </c>
      <c r="C109" s="85">
        <v>5.6918918918918919</v>
      </c>
    </row>
    <row r="110" spans="1:3" x14ac:dyDescent="0.2">
      <c r="A110" s="298" t="s">
        <v>677</v>
      </c>
      <c r="B110" s="298" t="s">
        <v>678</v>
      </c>
      <c r="C110" s="85">
        <v>3.8</v>
      </c>
    </row>
    <row r="111" spans="1:3" x14ac:dyDescent="0.2">
      <c r="A111" s="298" t="s">
        <v>386</v>
      </c>
      <c r="B111" s="298" t="s">
        <v>387</v>
      </c>
      <c r="C111" s="85">
        <v>5.0255892255892256</v>
      </c>
    </row>
    <row r="112" spans="1:3" x14ac:dyDescent="0.2">
      <c r="A112" s="298" t="s">
        <v>578</v>
      </c>
      <c r="B112" s="298" t="s">
        <v>579</v>
      </c>
      <c r="C112" s="85">
        <v>5.0612612612612615</v>
      </c>
    </row>
    <row r="113" spans="1:3" x14ac:dyDescent="0.2">
      <c r="A113" s="298" t="s">
        <v>679</v>
      </c>
      <c r="B113" s="298" t="s">
        <v>680</v>
      </c>
      <c r="C113" s="85">
        <v>4.9608623548922059</v>
      </c>
    </row>
    <row r="114" spans="1:3" x14ac:dyDescent="0.2">
      <c r="A114" s="298" t="s">
        <v>390</v>
      </c>
      <c r="B114" s="298" t="s">
        <v>391</v>
      </c>
      <c r="C114" s="85">
        <v>5.2975845410628022</v>
      </c>
    </row>
    <row r="115" spans="1:3" x14ac:dyDescent="0.2">
      <c r="A115" s="298" t="s">
        <v>392</v>
      </c>
      <c r="B115" s="298" t="s">
        <v>393</v>
      </c>
      <c r="C115" s="85">
        <v>5.3602836879432623</v>
      </c>
    </row>
    <row r="116" spans="1:3" x14ac:dyDescent="0.2">
      <c r="A116" s="298" t="s">
        <v>397</v>
      </c>
      <c r="B116" s="298" t="s">
        <v>398</v>
      </c>
      <c r="C116" s="85">
        <v>4.1888888888888891</v>
      </c>
    </row>
    <row r="117" spans="1:3" x14ac:dyDescent="0.2">
      <c r="A117" s="298" t="s">
        <v>442</v>
      </c>
      <c r="B117" s="298" t="s">
        <v>443</v>
      </c>
      <c r="C117" s="85">
        <v>3.8</v>
      </c>
    </row>
    <row r="118" spans="1:3" x14ac:dyDescent="0.2">
      <c r="A118" s="298" t="s">
        <v>446</v>
      </c>
      <c r="B118" s="298" t="s">
        <v>447</v>
      </c>
      <c r="C118" s="85">
        <v>5.7858156028368795</v>
      </c>
    </row>
    <row r="119" spans="1:3" x14ac:dyDescent="0.2">
      <c r="A119" s="298" t="s">
        <v>681</v>
      </c>
      <c r="B119" s="298" t="s">
        <v>682</v>
      </c>
      <c r="C119" s="85" t="e">
        <v>#VALUE!</v>
      </c>
    </row>
    <row r="120" spans="1:3" x14ac:dyDescent="0.2">
      <c r="A120" s="298" t="s">
        <v>683</v>
      </c>
      <c r="B120" s="298" t="s">
        <v>684</v>
      </c>
      <c r="C120" s="85">
        <v>4.9382113821138214</v>
      </c>
    </row>
    <row r="121" spans="1:3" x14ac:dyDescent="0.2">
      <c r="A121" s="298" t="s">
        <v>685</v>
      </c>
      <c r="B121" s="298" t="s">
        <v>686</v>
      </c>
      <c r="C121" s="85">
        <v>5.1145539906103288</v>
      </c>
    </row>
    <row r="122" spans="1:3" x14ac:dyDescent="0.2">
      <c r="A122" s="298" t="s">
        <v>687</v>
      </c>
      <c r="B122" s="298" t="s">
        <v>688</v>
      </c>
      <c r="C122" s="85">
        <v>4.9437908496732019</v>
      </c>
    </row>
    <row r="123" spans="1:3" x14ac:dyDescent="0.2">
      <c r="A123" s="298" t="s">
        <v>454</v>
      </c>
      <c r="B123" s="298" t="s">
        <v>455</v>
      </c>
      <c r="C123" s="85">
        <v>5.3481832543443923</v>
      </c>
    </row>
    <row r="124" spans="1:3" x14ac:dyDescent="0.2">
      <c r="A124" s="298" t="s">
        <v>689</v>
      </c>
      <c r="B124" s="298" t="s">
        <v>690</v>
      </c>
      <c r="C124" s="85">
        <v>4.9835748792270529</v>
      </c>
    </row>
    <row r="125" spans="1:3" x14ac:dyDescent="0.2">
      <c r="A125" s="298" t="s">
        <v>691</v>
      </c>
      <c r="B125" s="298" t="s">
        <v>692</v>
      </c>
      <c r="C125" s="85">
        <v>3.8</v>
      </c>
    </row>
    <row r="126" spans="1:3" x14ac:dyDescent="0.2">
      <c r="A126" s="298" t="s">
        <v>693</v>
      </c>
      <c r="B126" s="298" t="s">
        <v>694</v>
      </c>
      <c r="C126" s="85">
        <v>5.2030501089324614</v>
      </c>
    </row>
    <row r="127" spans="1:3" x14ac:dyDescent="0.2">
      <c r="A127" s="298" t="s">
        <v>695</v>
      </c>
      <c r="B127" s="298" t="s">
        <v>696</v>
      </c>
      <c r="C127" s="85" t="e">
        <v>#VALUE!</v>
      </c>
    </row>
    <row r="128" spans="1:3" x14ac:dyDescent="0.2">
      <c r="A128" s="298" t="s">
        <v>465</v>
      </c>
      <c r="B128" s="298" t="s">
        <v>466</v>
      </c>
      <c r="C128" s="85">
        <v>4.3555555555555552</v>
      </c>
    </row>
    <row r="129" spans="1:3" x14ac:dyDescent="0.2">
      <c r="A129" s="298" t="s">
        <v>697</v>
      </c>
      <c r="B129" s="298" t="s">
        <v>698</v>
      </c>
      <c r="C129" s="85">
        <v>4.6187134502923977</v>
      </c>
    </row>
    <row r="130" spans="1:3" x14ac:dyDescent="0.2">
      <c r="A130" s="298" t="s">
        <v>57</v>
      </c>
      <c r="B130" s="298" t="s">
        <v>58</v>
      </c>
      <c r="C130" s="85">
        <v>5.2187477379659786</v>
      </c>
    </row>
    <row r="131" spans="1:3" x14ac:dyDescent="0.2">
      <c r="A131" s="298" t="s">
        <v>542</v>
      </c>
      <c r="B131" s="298" t="s">
        <v>699</v>
      </c>
      <c r="C131" s="85">
        <v>5.5192982456140349</v>
      </c>
    </row>
    <row r="132" spans="1:3" x14ac:dyDescent="0.2">
      <c r="A132" s="298" t="s">
        <v>59</v>
      </c>
      <c r="B132" s="298" t="s">
        <v>60</v>
      </c>
      <c r="C132" s="85">
        <v>5.2389161410885308</v>
      </c>
    </row>
    <row r="133" spans="1:3" x14ac:dyDescent="0.2">
      <c r="A133" s="298" t="s">
        <v>306</v>
      </c>
      <c r="B133" s="298" t="s">
        <v>307</v>
      </c>
      <c r="C133" s="85">
        <v>5.8588235294117643</v>
      </c>
    </row>
    <row r="134" spans="1:3" x14ac:dyDescent="0.2">
      <c r="A134" s="298" t="s">
        <v>53</v>
      </c>
      <c r="B134" s="298" t="s">
        <v>54</v>
      </c>
      <c r="C134" s="85">
        <v>5.0001318826244638</v>
      </c>
    </row>
    <row r="135" spans="1:3" x14ac:dyDescent="0.2">
      <c r="A135" s="298" t="s">
        <v>700</v>
      </c>
      <c r="B135" s="298" t="s">
        <v>701</v>
      </c>
      <c r="C135" s="85">
        <v>4.8852713178294573</v>
      </c>
    </row>
    <row r="136" spans="1:3" x14ac:dyDescent="0.2">
      <c r="A136" s="298" t="s">
        <v>55</v>
      </c>
      <c r="B136" s="298" t="s">
        <v>56</v>
      </c>
      <c r="C136" s="85">
        <v>5.1381123058542411</v>
      </c>
    </row>
    <row r="137" spans="1:3" x14ac:dyDescent="0.2">
      <c r="A137" s="298" t="s">
        <v>702</v>
      </c>
      <c r="B137" s="298" t="s">
        <v>703</v>
      </c>
      <c r="C137" s="85">
        <v>4.6223201174743025</v>
      </c>
    </row>
    <row r="138" spans="1:3" x14ac:dyDescent="0.2">
      <c r="A138" s="298" t="s">
        <v>503</v>
      </c>
      <c r="B138" s="298" t="s">
        <v>504</v>
      </c>
      <c r="C138" s="85">
        <v>5.6937198067632844</v>
      </c>
    </row>
    <row r="139" spans="1:3" x14ac:dyDescent="0.2">
      <c r="A139" s="298" t="s">
        <v>480</v>
      </c>
      <c r="B139" s="298" t="s">
        <v>481</v>
      </c>
      <c r="C139" s="85">
        <v>6.0727272727272732</v>
      </c>
    </row>
    <row r="140" spans="1:3" x14ac:dyDescent="0.2">
      <c r="A140" s="298" t="s">
        <v>704</v>
      </c>
      <c r="B140" s="298" t="s">
        <v>587</v>
      </c>
      <c r="C140" s="85">
        <v>5.2271151885830784</v>
      </c>
    </row>
    <row r="141" spans="1:3" x14ac:dyDescent="0.2">
      <c r="A141" s="298" t="s">
        <v>705</v>
      </c>
      <c r="B141" s="298" t="s">
        <v>706</v>
      </c>
      <c r="C141" s="85">
        <v>5.0152777777777775</v>
      </c>
    </row>
    <row r="142" spans="1:3" x14ac:dyDescent="0.2">
      <c r="A142" s="298" t="s">
        <v>484</v>
      </c>
      <c r="B142" s="298" t="s">
        <v>485</v>
      </c>
      <c r="C142" s="85">
        <v>3.8</v>
      </c>
    </row>
    <row r="143" spans="1:3" x14ac:dyDescent="0.2">
      <c r="A143" s="298" t="s">
        <v>488</v>
      </c>
      <c r="B143" s="298" t="s">
        <v>489</v>
      </c>
      <c r="C143" s="85">
        <v>4.0880658436213988</v>
      </c>
    </row>
    <row r="144" spans="1:3" x14ac:dyDescent="0.2">
      <c r="A144" s="298" t="s">
        <v>492</v>
      </c>
      <c r="B144" s="298" t="s">
        <v>493</v>
      </c>
      <c r="C144" s="85">
        <v>4.8256410256410254</v>
      </c>
    </row>
    <row r="145" spans="1:3" x14ac:dyDescent="0.2">
      <c r="A145" s="298" t="s">
        <v>495</v>
      </c>
      <c r="B145" s="298" t="s">
        <v>496</v>
      </c>
      <c r="C145" s="85">
        <v>5.0867224684063679</v>
      </c>
    </row>
    <row r="146" spans="1:3" x14ac:dyDescent="0.2">
      <c r="A146" s="298" t="s">
        <v>707</v>
      </c>
      <c r="B146" s="298" t="s">
        <v>708</v>
      </c>
      <c r="C146" s="85">
        <v>5.0962962962962957</v>
      </c>
    </row>
    <row r="147" spans="1:3" x14ac:dyDescent="0.2">
      <c r="A147" s="298" t="s">
        <v>509</v>
      </c>
      <c r="B147" s="298" t="s">
        <v>510</v>
      </c>
      <c r="C147" s="85">
        <v>4.5251461988304094</v>
      </c>
    </row>
    <row r="148" spans="1:3" x14ac:dyDescent="0.2">
      <c r="A148" s="298" t="s">
        <v>94</v>
      </c>
      <c r="B148" s="298" t="s">
        <v>95</v>
      </c>
      <c r="C148" s="85">
        <v>4.9097204839382558</v>
      </c>
    </row>
    <row r="149" spans="1:3" x14ac:dyDescent="0.2">
      <c r="A149" s="298" t="s">
        <v>709</v>
      </c>
      <c r="B149" s="298" t="s">
        <v>710</v>
      </c>
      <c r="C149" s="85">
        <v>5.4374269005847955</v>
      </c>
    </row>
    <row r="150" spans="1:3" x14ac:dyDescent="0.2">
      <c r="A150" s="298" t="s">
        <v>711</v>
      </c>
      <c r="B150" s="298" t="s">
        <v>712</v>
      </c>
      <c r="C150" s="85">
        <v>4.3761316872427987</v>
      </c>
    </row>
    <row r="151" spans="1:3" x14ac:dyDescent="0.2">
      <c r="A151" s="298" t="s">
        <v>713</v>
      </c>
      <c r="B151" s="298" t="s">
        <v>714</v>
      </c>
      <c r="C151" s="85">
        <v>4.7845288326300981</v>
      </c>
    </row>
    <row r="152" spans="1:3" x14ac:dyDescent="0.2">
      <c r="A152" s="298" t="s">
        <v>715</v>
      </c>
      <c r="B152" s="298" t="s">
        <v>716</v>
      </c>
      <c r="C152" s="85">
        <v>5.3053763440860218</v>
      </c>
    </row>
    <row r="153" spans="1:3" x14ac:dyDescent="0.2">
      <c r="A153" s="298" t="s">
        <v>96</v>
      </c>
      <c r="B153" s="298" t="s">
        <v>97</v>
      </c>
      <c r="C153" s="85">
        <v>4.7589041095890412</v>
      </c>
    </row>
    <row r="154" spans="1:3" x14ac:dyDescent="0.2">
      <c r="A154" s="298" t="s">
        <v>543</v>
      </c>
      <c r="B154" s="298" t="s">
        <v>717</v>
      </c>
      <c r="C154" s="85">
        <v>5.567676767676768</v>
      </c>
    </row>
    <row r="155" spans="1:3" x14ac:dyDescent="0.2">
      <c r="A155" s="298" t="s">
        <v>718</v>
      </c>
      <c r="B155" s="298" t="s">
        <v>719</v>
      </c>
      <c r="C155" s="85">
        <v>5.6455743879472697</v>
      </c>
    </row>
    <row r="156" spans="1:3" x14ac:dyDescent="0.2">
      <c r="A156" s="298" t="s">
        <v>51</v>
      </c>
      <c r="B156" s="298" t="s">
        <v>52</v>
      </c>
      <c r="C156" s="85">
        <v>4.980367359229148</v>
      </c>
    </row>
    <row r="157" spans="1:3" x14ac:dyDescent="0.2">
      <c r="A157" s="298" t="s">
        <v>522</v>
      </c>
      <c r="B157" s="298" t="s">
        <v>523</v>
      </c>
      <c r="C157" s="85">
        <v>4.4392694063926941</v>
      </c>
    </row>
    <row r="158" spans="1:3" x14ac:dyDescent="0.2">
      <c r="A158" s="298" t="s">
        <v>526</v>
      </c>
      <c r="B158" s="298" t="s">
        <v>527</v>
      </c>
      <c r="C158" s="85">
        <v>5.035721703011423</v>
      </c>
    </row>
    <row r="160" spans="1:3" x14ac:dyDescent="0.2">
      <c r="A160" s="22" t="s">
        <v>720</v>
      </c>
    </row>
    <row r="161" spans="1:1" x14ac:dyDescent="0.2">
      <c r="A161" t="s">
        <v>721</v>
      </c>
    </row>
    <row r="162" spans="1:1" x14ac:dyDescent="0.2">
      <c r="A162" t="s">
        <v>722</v>
      </c>
    </row>
  </sheetData>
  <sheetProtection sheet="1" objects="1" scenarios="1"/>
  <autoFilter ref="A5:C123" xr:uid="{F1339EF0-3D40-4261-950A-CD83B3ED344B}">
    <sortState xmlns:xlrd2="http://schemas.microsoft.com/office/spreadsheetml/2017/richdata2" ref="A6:C123">
      <sortCondition ref="A5:A123"/>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8C6A-DA41-4242-8E93-C20B5C284D63}">
  <sheetPr>
    <tabColor rgb="FFE2EFDA"/>
  </sheetPr>
  <dimension ref="A1:L997"/>
  <sheetViews>
    <sheetView showGridLines="0" workbookViewId="0">
      <selection activeCell="C31" sqref="C31"/>
    </sheetView>
  </sheetViews>
  <sheetFormatPr baseColWidth="10" defaultColWidth="11.1640625" defaultRowHeight="15" customHeight="1" x14ac:dyDescent="0.2"/>
  <cols>
    <col min="1" max="1" width="11.6640625" bestFit="1" customWidth="1"/>
    <col min="2" max="2" width="5.5" bestFit="1" customWidth="1"/>
    <col min="3" max="3" width="12.1640625" style="19" customWidth="1"/>
    <col min="4" max="4" width="13.6640625" style="19" customWidth="1"/>
    <col min="5" max="7" width="14.5" style="19" customWidth="1"/>
    <col min="8" max="11" width="10.1640625" style="19" customWidth="1"/>
    <col min="12" max="12" width="9" style="231"/>
  </cols>
  <sheetData>
    <row r="1" spans="1:12" s="31" customFormat="1" ht="101.25" customHeight="1" x14ac:dyDescent="0.2">
      <c r="C1" s="79" t="s">
        <v>730</v>
      </c>
      <c r="D1" s="78" t="s">
        <v>547</v>
      </c>
      <c r="E1" s="78" t="s">
        <v>731</v>
      </c>
      <c r="F1" s="78" t="s">
        <v>732</v>
      </c>
      <c r="G1" s="78" t="s">
        <v>733</v>
      </c>
      <c r="H1" s="78" t="s">
        <v>734</v>
      </c>
      <c r="I1" s="78" t="s">
        <v>735</v>
      </c>
      <c r="J1" s="78" t="s">
        <v>736</v>
      </c>
      <c r="K1" s="78" t="s">
        <v>737</v>
      </c>
      <c r="L1" s="232"/>
    </row>
    <row r="2" spans="1:12" s="92" customFormat="1" ht="15.75" customHeight="1" x14ac:dyDescent="0.15">
      <c r="A2" s="87"/>
      <c r="B2" s="88" t="s">
        <v>121</v>
      </c>
      <c r="C2" s="91"/>
      <c r="D2" s="89"/>
      <c r="E2" s="89"/>
      <c r="F2" s="89"/>
      <c r="G2" s="89"/>
      <c r="H2" s="91">
        <v>0</v>
      </c>
      <c r="I2" s="91"/>
      <c r="J2" s="91">
        <v>0</v>
      </c>
      <c r="K2" s="91"/>
      <c r="L2" s="233"/>
    </row>
    <row r="3" spans="1:12" s="92" customFormat="1" ht="15.75" customHeight="1" x14ac:dyDescent="0.15">
      <c r="A3" s="87"/>
      <c r="B3" s="88" t="s">
        <v>123</v>
      </c>
      <c r="C3" s="91"/>
      <c r="D3" s="90"/>
      <c r="E3" s="90"/>
      <c r="F3" s="89"/>
      <c r="G3" s="89"/>
      <c r="H3" s="91">
        <f>SQRT(1000000000)</f>
        <v>31622.776601683792</v>
      </c>
      <c r="I3" s="91"/>
      <c r="J3" s="91">
        <v>0.8</v>
      </c>
      <c r="K3" s="91"/>
      <c r="L3" s="233"/>
    </row>
    <row r="4" spans="1:12" s="22" customFormat="1" ht="15.75" customHeight="1" x14ac:dyDescent="0.2">
      <c r="A4" s="15" t="s">
        <v>124</v>
      </c>
      <c r="B4" s="16" t="s">
        <v>47</v>
      </c>
      <c r="C4" s="107" t="s">
        <v>125</v>
      </c>
      <c r="D4" s="106" t="s">
        <v>128</v>
      </c>
      <c r="E4" s="106" t="s">
        <v>128</v>
      </c>
      <c r="F4" s="106" t="s">
        <v>128</v>
      </c>
      <c r="G4" s="106" t="s">
        <v>128</v>
      </c>
      <c r="H4" s="107" t="s">
        <v>155</v>
      </c>
      <c r="I4" s="107" t="s">
        <v>155</v>
      </c>
      <c r="J4" s="107" t="s">
        <v>155</v>
      </c>
      <c r="K4" s="107" t="s">
        <v>155</v>
      </c>
      <c r="L4" s="234"/>
    </row>
    <row r="5" spans="1:12" ht="15.75" customHeight="1" x14ac:dyDescent="0.2">
      <c r="A5" t="s">
        <v>48</v>
      </c>
      <c r="B5" t="s">
        <v>50</v>
      </c>
      <c r="C5" s="77">
        <f>IF(AVERAGE(I5,K5)&gt;9.9,9.9,AVERAGE(I5,K5))</f>
        <v>9.9</v>
      </c>
      <c r="D5" s="38">
        <f>VLOOKUP($B5,'Humanitarian Insight'!$B$2:$N$35,9,FALSE)</f>
        <v>3227372908</v>
      </c>
      <c r="E5" s="38">
        <f>VLOOKUP($B5,'Humanitarian Insight'!$B$2:$N$35,2,FALSE)</f>
        <v>4442200000</v>
      </c>
      <c r="F5" s="38">
        <f>VLOOKUP($B5,'Humanitarian Insight'!$B$2:$N$35,10,FALSE)</f>
        <v>1758044820</v>
      </c>
      <c r="G5" s="38">
        <f>VLOOKUP($B5,'Humanitarian Insight'!$B$2:$N$35,3,FALSE)</f>
        <v>3034000000</v>
      </c>
      <c r="H5" s="81">
        <f>IF(F5&gt;0,SQRT(F5),SQRT(G5))</f>
        <v>41929.045064251106</v>
      </c>
      <c r="I5" s="103">
        <f>((H5-$H$2)/($H$3-$H$2))*10</f>
        <v>13.259128251887454</v>
      </c>
      <c r="J5" s="103">
        <f>IF(F5&gt;0,(F5/D5),(G5/E5))</f>
        <v>0.54472937281036382</v>
      </c>
      <c r="K5" s="104">
        <f>((J5-$J$2)/($J$3-$J$2))*10</f>
        <v>6.8091171601295475</v>
      </c>
    </row>
    <row r="6" spans="1:12" ht="15.75" customHeight="1" x14ac:dyDescent="0.2">
      <c r="A6" t="s">
        <v>133</v>
      </c>
      <c r="B6" t="s">
        <v>134</v>
      </c>
      <c r="C6" s="77">
        <f t="shared" ref="C6:C38" si="0">IF(AVERAGE(I6,K6)&gt;9.9,9.9,AVERAGE(I6,K6))</f>
        <v>5.1932295367008674</v>
      </c>
      <c r="D6" s="38">
        <f>VLOOKUP($B6,'Humanitarian Insight'!$B$2:$N$35,9,FALSE)</f>
        <v>875927365</v>
      </c>
      <c r="E6" s="38">
        <f>VLOOKUP($B6,'Humanitarian Insight'!$B$2:$N$35,2,FALSE)</f>
        <v>881030780</v>
      </c>
      <c r="F6" s="38">
        <f>VLOOKUP($B6,'Humanitarian Insight'!$B$2:$N$35,10,FALSE)</f>
        <v>327068866</v>
      </c>
      <c r="G6" s="38">
        <f>VLOOKUP($B6,'Humanitarian Insight'!$B$2:$N$35,3,FALSE)</f>
        <v>302478556</v>
      </c>
      <c r="H6" s="81">
        <f t="shared" ref="H6:H38" si="1">IF(F6&gt;0,SQRT(F6),SQRT(G6))</f>
        <v>18085.045369033498</v>
      </c>
      <c r="I6" s="103">
        <f t="shared" ref="I6:I38" si="2">((H6-$H$2)/($H$3-$H$2))*10</f>
        <v>5.7189934953626231</v>
      </c>
      <c r="J6" s="103">
        <f t="shared" ref="J6:J38" si="3">IF(F6&gt;0,(F6/D6),(G6/E6))</f>
        <v>0.37339724624312887</v>
      </c>
      <c r="K6" s="104">
        <f t="shared" ref="K6:K38" si="4">((J6-$J$2)/($J$3-$J$2))*10</f>
        <v>4.6674655780391108</v>
      </c>
    </row>
    <row r="7" spans="1:12" ht="15.75" customHeight="1" x14ac:dyDescent="0.2">
      <c r="A7" t="s">
        <v>98</v>
      </c>
      <c r="B7" t="s">
        <v>99</v>
      </c>
      <c r="C7" s="77">
        <f t="shared" si="0"/>
        <v>6.4271230449092362</v>
      </c>
      <c r="D7" s="38">
        <f>VLOOKUP($B7,'Humanitarian Insight'!$B$2:$N$35,9,FALSE)</f>
        <v>876731475</v>
      </c>
      <c r="E7" s="38">
        <f>VLOOKUP($B7,'Humanitarian Insight'!$B$2:$N$35,2,FALSE)</f>
        <v>805099698</v>
      </c>
      <c r="F7" s="38">
        <f>VLOOKUP($B7,'Humanitarian Insight'!$B$2:$N$35,10,FALSE)</f>
        <v>437601349</v>
      </c>
      <c r="G7" s="38">
        <f>VLOOKUP($B7,'Humanitarian Insight'!$B$2:$N$35,3,FALSE)</f>
        <v>390554673</v>
      </c>
      <c r="H7" s="81">
        <f t="shared" si="1"/>
        <v>20918.923227546871</v>
      </c>
      <c r="I7" s="103">
        <f t="shared" si="2"/>
        <v>6.615144359724888</v>
      </c>
      <c r="J7" s="103">
        <f t="shared" si="3"/>
        <v>0.49912813840748677</v>
      </c>
      <c r="K7" s="104">
        <f t="shared" si="4"/>
        <v>6.2391017300935845</v>
      </c>
    </row>
    <row r="8" spans="1:12" ht="15.75" customHeight="1" x14ac:dyDescent="0.2">
      <c r="A8" t="s">
        <v>88</v>
      </c>
      <c r="B8" t="s">
        <v>89</v>
      </c>
      <c r="C8" s="77">
        <f t="shared" si="0"/>
        <v>3.938298313696591</v>
      </c>
      <c r="D8" s="38">
        <f>VLOOKUP($B8,'Humanitarian Insight'!$B$2:$N$35,9,FALSE)</f>
        <v>237180119</v>
      </c>
      <c r="E8" s="38">
        <f>VLOOKUP($B8,'Humanitarian Insight'!$B$2:$N$35,2,FALSE)</f>
        <v>182414025</v>
      </c>
      <c r="F8" s="38">
        <f>VLOOKUP($B8,'Humanitarian Insight'!$B$2:$N$35,10,FALSE)</f>
        <v>91925000</v>
      </c>
      <c r="G8" s="38">
        <f>VLOOKUP($B8,'Humanitarian Insight'!$B$2:$N$35,3,FALSE)</f>
        <v>38045162</v>
      </c>
      <c r="H8" s="81">
        <f t="shared" si="1"/>
        <v>9587.7526042342161</v>
      </c>
      <c r="I8" s="103">
        <f t="shared" si="2"/>
        <v>3.0319135871591065</v>
      </c>
      <c r="J8" s="103">
        <f t="shared" si="3"/>
        <v>0.38757464321872609</v>
      </c>
      <c r="K8" s="104">
        <f t="shared" si="4"/>
        <v>4.8446830402340755</v>
      </c>
    </row>
    <row r="9" spans="1:12" ht="15.75" customHeight="1" x14ac:dyDescent="0.2">
      <c r="A9" t="s">
        <v>92</v>
      </c>
      <c r="B9" t="s">
        <v>93</v>
      </c>
      <c r="C9" s="77">
        <f t="shared" si="0"/>
        <v>4.389696439239831</v>
      </c>
      <c r="D9" s="38">
        <f>VLOOKUP($B9,'Humanitarian Insight'!$B$2:$N$35,9,FALSE)</f>
        <v>407309869</v>
      </c>
      <c r="E9" s="38">
        <f>VLOOKUP($B9,'Humanitarian Insight'!$B$2:$N$35,2,FALSE)</f>
        <v>376046051</v>
      </c>
      <c r="F9" s="38">
        <f>VLOOKUP($B9,'Humanitarian Insight'!$B$2:$N$35,10,FALSE)</f>
        <v>156973939</v>
      </c>
      <c r="G9" s="38">
        <f>VLOOKUP($B9,'Humanitarian Insight'!$B$2:$N$35,3,FALSE)</f>
        <v>137721726</v>
      </c>
      <c r="H9" s="81">
        <f t="shared" si="1"/>
        <v>12528.924095867131</v>
      </c>
      <c r="I9" s="103">
        <f t="shared" si="2"/>
        <v>3.9619936774305939</v>
      </c>
      <c r="J9" s="103">
        <f t="shared" si="3"/>
        <v>0.38539193608392536</v>
      </c>
      <c r="K9" s="104">
        <f t="shared" si="4"/>
        <v>4.8173992010490672</v>
      </c>
    </row>
    <row r="10" spans="1:12" ht="15.75" customHeight="1" x14ac:dyDescent="0.2">
      <c r="A10" t="s">
        <v>75</v>
      </c>
      <c r="B10" t="s">
        <v>76</v>
      </c>
      <c r="C10" s="77">
        <f t="shared" si="0"/>
        <v>5.5014177731528431</v>
      </c>
      <c r="D10" s="38">
        <f>VLOOKUP($B10,'Humanitarian Insight'!$B$2:$N$35,9,FALSE)</f>
        <v>533305798</v>
      </c>
      <c r="E10" s="38">
        <f>VLOOKUP($B10,'Humanitarian Insight'!$B$2:$N$35,2,FALSE)</f>
        <v>461253975</v>
      </c>
      <c r="F10" s="38">
        <f>VLOOKUP($B10,'Humanitarian Insight'!$B$2:$N$35,10,FALSE)</f>
        <v>254286655</v>
      </c>
      <c r="G10" s="38">
        <f>VLOOKUP($B10,'Humanitarian Insight'!$B$2:$N$35,3,FALSE)</f>
        <v>188152372</v>
      </c>
      <c r="H10" s="81">
        <f t="shared" si="1"/>
        <v>15946.368081792167</v>
      </c>
      <c r="I10" s="103">
        <f t="shared" si="2"/>
        <v>5.0426843545873465</v>
      </c>
      <c r="J10" s="103">
        <f t="shared" si="3"/>
        <v>0.47681209533746716</v>
      </c>
      <c r="K10" s="104">
        <f t="shared" si="4"/>
        <v>5.9601511917183387</v>
      </c>
    </row>
    <row r="11" spans="1:12" ht="15.75" customHeight="1" x14ac:dyDescent="0.2">
      <c r="A11" t="s">
        <v>67</v>
      </c>
      <c r="B11" t="s">
        <v>68</v>
      </c>
      <c r="C11" s="77">
        <f t="shared" si="0"/>
        <v>4.2176554593942699</v>
      </c>
      <c r="D11" s="38">
        <f>VLOOKUP($B11,'Humanitarian Insight'!$B$2:$N$35,9,FALSE)</f>
        <v>920624766</v>
      </c>
      <c r="E11" s="38">
        <f>VLOOKUP($B11,'Humanitarian Insight'!$B$2:$N$35,2,FALSE)</f>
        <v>510909899</v>
      </c>
      <c r="F11" s="38">
        <f>VLOOKUP($B11,'Humanitarian Insight'!$B$2:$N$35,10,FALSE)</f>
        <v>251734981</v>
      </c>
      <c r="G11" s="38">
        <f>VLOOKUP($B11,'Humanitarian Insight'!$B$2:$N$35,3,FALSE)</f>
        <v>319404593</v>
      </c>
      <c r="H11" s="81">
        <f t="shared" si="1"/>
        <v>15866.158356703743</v>
      </c>
      <c r="I11" s="103">
        <f t="shared" si="2"/>
        <v>5.0173198124098093</v>
      </c>
      <c r="J11" s="103">
        <f t="shared" si="3"/>
        <v>0.27343928851029847</v>
      </c>
      <c r="K11" s="104">
        <f t="shared" si="4"/>
        <v>3.4179911063787305</v>
      </c>
    </row>
    <row r="12" spans="1:12" ht="15.75" customHeight="1" x14ac:dyDescent="0.2">
      <c r="A12" t="s">
        <v>104</v>
      </c>
      <c r="B12" t="s">
        <v>105</v>
      </c>
      <c r="C12" s="77">
        <f t="shared" si="0"/>
        <v>2.4123584377537055</v>
      </c>
      <c r="D12" s="38">
        <f>VLOOKUP($B12,'Humanitarian Insight'!$B$2:$N$35,9,FALSE)</f>
        <v>283317893</v>
      </c>
      <c r="E12" s="38">
        <f>VLOOKUP($B12,'Humanitarian Insight'!$B$2:$N$35,2,FALSE)</f>
        <v>282854048</v>
      </c>
      <c r="F12" s="38">
        <f>VLOOKUP($B12,'Humanitarian Insight'!$B$2:$N$35,10,FALSE)</f>
        <v>55809430</v>
      </c>
      <c r="G12" s="38">
        <f>VLOOKUP($B12,'Humanitarian Insight'!$B$2:$N$35,3,FALSE)</f>
        <v>54909818</v>
      </c>
      <c r="H12" s="81">
        <f t="shared" si="1"/>
        <v>7470.5709286506344</v>
      </c>
      <c r="I12" s="103">
        <f t="shared" si="2"/>
        <v>2.3624019556375244</v>
      </c>
      <c r="J12" s="103">
        <f t="shared" si="3"/>
        <v>0.19698519358959091</v>
      </c>
      <c r="K12" s="104">
        <f t="shared" si="4"/>
        <v>2.4623149198698862</v>
      </c>
    </row>
    <row r="13" spans="1:12" ht="15.75" customHeight="1" x14ac:dyDescent="0.2">
      <c r="A13" t="s">
        <v>63</v>
      </c>
      <c r="B13" t="s">
        <v>64</v>
      </c>
      <c r="C13" s="77">
        <f t="shared" si="0"/>
        <v>9.9</v>
      </c>
      <c r="D13" s="38">
        <f>VLOOKUP($B13,'Humanitarian Insight'!$B$2:$N$35,9,FALSE)</f>
        <v>2252684083</v>
      </c>
      <c r="E13" s="38">
        <f>VLOOKUP($B13,'Humanitarian Insight'!$B$2:$N$35,2,FALSE)</f>
        <v>1881674597</v>
      </c>
      <c r="F13" s="38">
        <f>VLOOKUP($B13,'Humanitarian Insight'!$B$2:$N$35,10,FALSE)</f>
        <v>1511358052</v>
      </c>
      <c r="G13" s="38">
        <f>VLOOKUP($B13,'Humanitarian Insight'!$B$2:$N$35,3,FALSE)</f>
        <v>1039329856</v>
      </c>
      <c r="H13" s="81">
        <f t="shared" si="1"/>
        <v>38876.188753528812</v>
      </c>
      <c r="I13" s="103">
        <f t="shared" si="2"/>
        <v>12.293730320777335</v>
      </c>
      <c r="J13" s="103">
        <f t="shared" si="3"/>
        <v>0.67091433876838025</v>
      </c>
      <c r="K13" s="104">
        <f t="shared" si="4"/>
        <v>8.3864292346047531</v>
      </c>
    </row>
    <row r="14" spans="1:12" ht="15.75" customHeight="1" x14ac:dyDescent="0.2">
      <c r="A14" t="s">
        <v>114</v>
      </c>
      <c r="B14" t="s">
        <v>115</v>
      </c>
      <c r="C14" s="77">
        <f t="shared" si="0"/>
        <v>3.0961764985299705</v>
      </c>
      <c r="D14" s="38">
        <f>VLOOKUP($B14,'Humanitarian Insight'!$B$2:$N$35,9,FALSE)</f>
        <v>98416155</v>
      </c>
      <c r="E14" s="38">
        <f>VLOOKUP($B14,'Humanitarian Insight'!$B$2:$N$35,2,FALSE)</f>
        <v>114317607</v>
      </c>
      <c r="F14" s="38">
        <f>VLOOKUP($B14,'Humanitarian Insight'!$B$2:$N$35,10,FALSE)</f>
        <v>34195000</v>
      </c>
      <c r="G14" s="38">
        <f>VLOOKUP($B14,'Humanitarian Insight'!$B$2:$N$35,3,FALSE)</f>
        <v>32885405</v>
      </c>
      <c r="H14" s="81">
        <f t="shared" si="1"/>
        <v>5847.6491002795301</v>
      </c>
      <c r="I14" s="103">
        <f t="shared" si="2"/>
        <v>1.8491890114317684</v>
      </c>
      <c r="J14" s="103">
        <f t="shared" si="3"/>
        <v>0.34745311885025382</v>
      </c>
      <c r="K14" s="104">
        <f t="shared" si="4"/>
        <v>4.3431639856281725</v>
      </c>
    </row>
    <row r="15" spans="1:12" ht="15.75" customHeight="1" x14ac:dyDescent="0.2">
      <c r="A15" t="s">
        <v>61</v>
      </c>
      <c r="B15" t="s">
        <v>62</v>
      </c>
      <c r="C15" s="77">
        <f t="shared" si="0"/>
        <v>9.9</v>
      </c>
      <c r="D15" s="38">
        <f>VLOOKUP($B15,'Humanitarian Insight'!$B$2:$N$35,9,FALSE)</f>
        <v>3994813508</v>
      </c>
      <c r="E15" s="38">
        <f>VLOOKUP($B15,'Humanitarian Insight'!$B$2:$N$35,2,FALSE)</f>
        <v>3335002211</v>
      </c>
      <c r="F15" s="38">
        <f>VLOOKUP($B15,'Humanitarian Insight'!$B$2:$N$35,10,FALSE)</f>
        <v>2299636217</v>
      </c>
      <c r="G15" s="38">
        <f>VLOOKUP($B15,'Humanitarian Insight'!$B$2:$N$35,3,FALSE)</f>
        <v>2047052150</v>
      </c>
      <c r="H15" s="81">
        <f t="shared" si="1"/>
        <v>47954.522383191346</v>
      </c>
      <c r="I15" s="103">
        <f t="shared" si="2"/>
        <v>15.164551483641052</v>
      </c>
      <c r="J15" s="103">
        <f t="shared" si="3"/>
        <v>0.57565546236257492</v>
      </c>
      <c r="K15" s="104">
        <f t="shared" si="4"/>
        <v>7.1956932795321862</v>
      </c>
    </row>
    <row r="16" spans="1:12" ht="15.75" customHeight="1" x14ac:dyDescent="0.2">
      <c r="A16" t="s">
        <v>102</v>
      </c>
      <c r="B16" t="s">
        <v>103</v>
      </c>
      <c r="C16" s="77">
        <f t="shared" si="0"/>
        <v>2.740082825940648</v>
      </c>
      <c r="D16" s="38">
        <f>VLOOKUP($B16,'Humanitarian Insight'!$B$2:$N$35,9,FALSE)</f>
        <v>126145348</v>
      </c>
      <c r="E16" s="38">
        <f>VLOOKUP($B16,'Humanitarian Insight'!$B$2:$N$35,2,FALSE)</f>
        <v>153531304</v>
      </c>
      <c r="F16" s="38">
        <f>VLOOKUP($B16,'Humanitarian Insight'!$B$2:$N$35,10,FALSE)</f>
        <v>36123468</v>
      </c>
      <c r="G16" s="38">
        <f>VLOOKUP($B16,'Humanitarian Insight'!$B$2:$N$35,3,FALSE)</f>
        <v>24062017</v>
      </c>
      <c r="H16" s="81">
        <f t="shared" si="1"/>
        <v>6010.2801931357581</v>
      </c>
      <c r="I16" s="103">
        <f t="shared" si="2"/>
        <v>1.9006174786105701</v>
      </c>
      <c r="J16" s="103">
        <f t="shared" si="3"/>
        <v>0.28636385386165808</v>
      </c>
      <c r="K16" s="104">
        <f t="shared" si="4"/>
        <v>3.5795481732707257</v>
      </c>
    </row>
    <row r="17" spans="1:11" ht="15.75" customHeight="1" x14ac:dyDescent="0.2">
      <c r="A17" t="s">
        <v>71</v>
      </c>
      <c r="B17" t="s">
        <v>72</v>
      </c>
      <c r="C17" s="77">
        <f t="shared" si="0"/>
        <v>7.6042037302689067</v>
      </c>
      <c r="D17" s="38">
        <f>VLOOKUP($B17,'Humanitarian Insight'!$B$2:$N$35,9,FALSE)</f>
        <v>719857713</v>
      </c>
      <c r="E17" s="38">
        <f>VLOOKUP($B17,'Humanitarian Insight'!$B$2:$N$35,2,FALSE)</f>
        <v>373165734</v>
      </c>
      <c r="F17" s="38">
        <f>VLOOKUP($B17,'Humanitarian Insight'!$B$2:$N$35,10,FALSE)</f>
        <v>477772400</v>
      </c>
      <c r="G17" s="38">
        <f>VLOOKUP($B17,'Humanitarian Insight'!$B$2:$N$35,3,FALSE)</f>
        <v>252928884</v>
      </c>
      <c r="H17" s="81">
        <f t="shared" si="1"/>
        <v>21858.00539848044</v>
      </c>
      <c r="I17" s="103">
        <f t="shared" si="2"/>
        <v>6.9121082167454526</v>
      </c>
      <c r="J17" s="103">
        <f t="shared" si="3"/>
        <v>0.66370393950338902</v>
      </c>
      <c r="K17" s="104">
        <f t="shared" si="4"/>
        <v>8.2962992437923617</v>
      </c>
    </row>
    <row r="18" spans="1:11" ht="15.75" customHeight="1" x14ac:dyDescent="0.2">
      <c r="A18" t="s">
        <v>108</v>
      </c>
      <c r="B18" t="s">
        <v>109</v>
      </c>
      <c r="C18" s="77">
        <f t="shared" si="0"/>
        <v>5.0030961166287105</v>
      </c>
      <c r="D18" s="38">
        <f>VLOOKUP($B18,'Humanitarian Insight'!$B$2:$N$35,9,FALSE)</f>
        <v>280360869</v>
      </c>
      <c r="E18" s="38">
        <f>VLOOKUP($B18,'Humanitarian Insight'!$B$2:$N$35,2,FALSE)</f>
        <v>155296363</v>
      </c>
      <c r="F18" s="38">
        <f>VLOOKUP($B18,'Humanitarian Insight'!$B$2:$N$35,10,FALSE)</f>
        <v>140389712</v>
      </c>
      <c r="G18" s="38">
        <f>VLOOKUP($B18,'Humanitarian Insight'!$B$2:$N$35,3,FALSE)</f>
        <v>49519464</v>
      </c>
      <c r="H18" s="81">
        <f t="shared" si="1"/>
        <v>11848.616459317096</v>
      </c>
      <c r="I18" s="103">
        <f t="shared" si="2"/>
        <v>3.7468615133201815</v>
      </c>
      <c r="J18" s="103">
        <f t="shared" si="3"/>
        <v>0.50074645759497916</v>
      </c>
      <c r="K18" s="104">
        <f t="shared" si="4"/>
        <v>6.259330719937239</v>
      </c>
    </row>
    <row r="19" spans="1:11" ht="15.75" customHeight="1" x14ac:dyDescent="0.2">
      <c r="A19" t="s">
        <v>110</v>
      </c>
      <c r="B19" t="s">
        <v>111</v>
      </c>
      <c r="C19" s="77">
        <f t="shared" si="0"/>
        <v>3.8452370521804551</v>
      </c>
      <c r="D19" s="38">
        <f>VLOOKUP($B19,'Humanitarian Insight'!$B$2:$N$35,9,FALSE)</f>
        <v>0</v>
      </c>
      <c r="E19" s="38">
        <f>VLOOKUP($B19,'Humanitarian Insight'!$B$2:$N$35,2,FALSE)</f>
        <v>400004347</v>
      </c>
      <c r="F19" s="38">
        <f>VLOOKUP($B19,'Humanitarian Insight'!$B$2:$N$35,10,FALSE)</f>
        <v>0</v>
      </c>
      <c r="G19" s="38">
        <f>VLOOKUP($B19,'Humanitarian Insight'!$B$2:$N$35,3,FALSE)</f>
        <v>130498116</v>
      </c>
      <c r="H19" s="81">
        <f t="shared" si="1"/>
        <v>11423.577198058409</v>
      </c>
      <c r="I19" s="103">
        <f t="shared" si="2"/>
        <v>3.6124522972628998</v>
      </c>
      <c r="J19" s="103">
        <f t="shared" si="3"/>
        <v>0.32624174456784089</v>
      </c>
      <c r="K19" s="104">
        <f t="shared" si="4"/>
        <v>4.0780218070980103</v>
      </c>
    </row>
    <row r="20" spans="1:11" ht="15.75" customHeight="1" x14ac:dyDescent="0.2">
      <c r="A20" t="s">
        <v>86</v>
      </c>
      <c r="B20" t="s">
        <v>87</v>
      </c>
      <c r="C20" s="77">
        <f t="shared" ref="C20" si="5">IF(AVERAGE(I20,K20)&gt;9.9,9.9,AVERAGE(I20,K20))</f>
        <v>3.8266141451918796</v>
      </c>
      <c r="D20" s="38">
        <f>VLOOKUP($B20,'Humanitarian Insight'!$B$2:$N$35,9,FALSE)</f>
        <v>451825224</v>
      </c>
      <c r="E20" s="38">
        <f>VLOOKUP($B20,'Humanitarian Insight'!$B$2:$N$35,2,FALSE)</f>
        <v>289641587</v>
      </c>
      <c r="F20" s="38">
        <f>VLOOKUP($B20,'Humanitarian Insight'!$B$2:$N$35,10,FALSE)</f>
        <v>140936241</v>
      </c>
      <c r="G20" s="38">
        <f>VLOOKUP($B20,'Humanitarian Insight'!$B$2:$N$35,3,FALSE)</f>
        <v>100556862</v>
      </c>
      <c r="H20" s="81">
        <f t="shared" ref="H20" si="6">IF(F20&gt;0,SQRT(F20),SQRT(G20))</f>
        <v>11871.65704524857</v>
      </c>
      <c r="I20" s="103">
        <f t="shared" ref="I20" si="7">((H20-$H$2)/($H$3-$H$2))*10</f>
        <v>3.7541475863370106</v>
      </c>
      <c r="J20" s="103">
        <f t="shared" ref="J20" si="8">IF(F20&gt;0,(F20/D20),(G20/E20))</f>
        <v>0.31192645632373989</v>
      </c>
      <c r="K20" s="104">
        <f t="shared" ref="K20" si="9">((J20-$J$2)/($J$3-$J$2))*10</f>
        <v>3.8990807040467486</v>
      </c>
    </row>
    <row r="21" spans="1:11" ht="15.75" customHeight="1" x14ac:dyDescent="0.2">
      <c r="A21" t="s">
        <v>112</v>
      </c>
      <c r="B21" t="s">
        <v>113</v>
      </c>
      <c r="C21" s="77">
        <f t="shared" si="0"/>
        <v>4.5559703970772336</v>
      </c>
      <c r="D21" s="38">
        <f>VLOOKUP($B21,'Humanitarian Insight'!$B$2:$N$35,9,FALSE)</f>
        <v>200203540</v>
      </c>
      <c r="E21" s="38">
        <f>VLOOKUP($B21,'Humanitarian Insight'!$B$2:$N$35,2,FALSE)</f>
        <v>378175867</v>
      </c>
      <c r="F21" s="38">
        <f>VLOOKUP($B21,'Humanitarian Insight'!$B$2:$N$35,10,FALSE)</f>
        <v>0</v>
      </c>
      <c r="G21" s="38">
        <f>VLOOKUP($B21,'Humanitarian Insight'!$B$2:$N$35,3,FALSE)</f>
        <v>156129646</v>
      </c>
      <c r="H21" s="81">
        <f t="shared" si="1"/>
        <v>12495.184912597333</v>
      </c>
      <c r="I21" s="103">
        <f t="shared" si="2"/>
        <v>3.9513244108779535</v>
      </c>
      <c r="J21" s="103">
        <f t="shared" si="3"/>
        <v>0.41284931066212111</v>
      </c>
      <c r="K21" s="104">
        <f t="shared" si="4"/>
        <v>5.1606163832765137</v>
      </c>
    </row>
    <row r="22" spans="1:11" ht="15.75" customHeight="1" x14ac:dyDescent="0.2">
      <c r="A22" t="s">
        <v>84</v>
      </c>
      <c r="B22" t="s">
        <v>85</v>
      </c>
      <c r="C22" s="77">
        <f t="shared" si="0"/>
        <v>2.6114489041816507</v>
      </c>
      <c r="D22" s="38">
        <f>VLOOKUP($B22,'Humanitarian Insight'!$B$2:$N$35,9,FALSE)</f>
        <v>37731860</v>
      </c>
      <c r="E22" s="38">
        <f>VLOOKUP($B22,'Humanitarian Insight'!$B$2:$N$35,2,FALSE)</f>
        <v>113799273</v>
      </c>
      <c r="F22" s="38">
        <f>VLOOKUP($B22,'Humanitarian Insight'!$B$2:$N$35,10,FALSE)</f>
        <v>12403750</v>
      </c>
      <c r="G22" s="38">
        <f>VLOOKUP($B22,'Humanitarian Insight'!$B$2:$N$35,3,FALSE)</f>
        <v>34126913</v>
      </c>
      <c r="H22" s="81">
        <f t="shared" si="1"/>
        <v>3521.8957963006233</v>
      </c>
      <c r="I22" s="103">
        <f t="shared" si="2"/>
        <v>1.1137212398082388</v>
      </c>
      <c r="J22" s="103">
        <f t="shared" si="3"/>
        <v>0.32873412548440495</v>
      </c>
      <c r="K22" s="104">
        <f t="shared" si="4"/>
        <v>4.1091765685550623</v>
      </c>
    </row>
    <row r="23" spans="1:11" ht="15.75" customHeight="1" x14ac:dyDescent="0.2">
      <c r="A23" t="s">
        <v>81</v>
      </c>
      <c r="B23" t="s">
        <v>83</v>
      </c>
      <c r="C23" s="77">
        <f t="shared" si="0"/>
        <v>6.8467557552318903</v>
      </c>
      <c r="D23" s="38">
        <f>VLOOKUP($B23,'Humanitarian Insight'!$B$2:$N$35,9,FALSE)</f>
        <v>214681354</v>
      </c>
      <c r="E23" s="38">
        <f>VLOOKUP($B23,'Humanitarian Insight'!$B$2:$N$35,2,FALSE)</f>
        <v>219267779</v>
      </c>
      <c r="F23" s="38">
        <f>VLOOKUP($B23,'Humanitarian Insight'!$B$2:$N$35,10,FALSE)</f>
        <v>165343554</v>
      </c>
      <c r="G23" s="38">
        <f>VLOOKUP($B23,'Humanitarian Insight'!$B$2:$N$35,3,FALSE)</f>
        <v>170042200</v>
      </c>
      <c r="H23" s="81">
        <f t="shared" si="1"/>
        <v>12858.598446176005</v>
      </c>
      <c r="I23" s="103">
        <f t="shared" si="2"/>
        <v>4.0662458607418213</v>
      </c>
      <c r="J23" s="103">
        <f t="shared" si="3"/>
        <v>0.77018125197775678</v>
      </c>
      <c r="K23" s="104">
        <f t="shared" si="4"/>
        <v>9.6272656497219593</v>
      </c>
    </row>
    <row r="24" spans="1:11" ht="15.75" customHeight="1" x14ac:dyDescent="0.2">
      <c r="A24" t="s">
        <v>106</v>
      </c>
      <c r="B24" t="s">
        <v>107</v>
      </c>
      <c r="C24" s="77">
        <f t="shared" si="0"/>
        <v>2.6036908054895815</v>
      </c>
      <c r="D24" s="38">
        <f>VLOOKUP($B24,'Humanitarian Insight'!$B$2:$N$35,9,FALSE)</f>
        <v>115945732</v>
      </c>
      <c r="E24" s="38">
        <f>VLOOKUP($B24,'Humanitarian Insight'!$B$2:$N$35,2,FALSE)</f>
        <v>29450000</v>
      </c>
      <c r="F24" s="38">
        <f>VLOOKUP($B24,'Humanitarian Insight'!$B$2:$N$35,10,FALSE)</f>
        <v>31769071</v>
      </c>
      <c r="G24" s="38">
        <f>VLOOKUP($B24,'Humanitarian Insight'!$B$2:$N$35,3,FALSE)</f>
        <v>12150000</v>
      </c>
      <c r="H24" s="81">
        <f t="shared" si="1"/>
        <v>5636.4058583462565</v>
      </c>
      <c r="I24" s="103">
        <f t="shared" si="2"/>
        <v>1.7823880329490547</v>
      </c>
      <c r="J24" s="103">
        <f t="shared" si="3"/>
        <v>0.27399948624240866</v>
      </c>
      <c r="K24" s="104">
        <f t="shared" si="4"/>
        <v>3.4249935780301084</v>
      </c>
    </row>
    <row r="25" spans="1:11" ht="15.75" customHeight="1" x14ac:dyDescent="0.2">
      <c r="A25" t="s">
        <v>65</v>
      </c>
      <c r="B25" t="s">
        <v>66</v>
      </c>
      <c r="C25" s="77">
        <f t="shared" si="0"/>
        <v>5.6430708686490592</v>
      </c>
      <c r="D25" s="38">
        <f>VLOOKUP($B25,'Humanitarian Insight'!$B$2:$N$35,9,FALSE)</f>
        <v>751470941</v>
      </c>
      <c r="E25" s="38">
        <f>VLOOKUP($B25,'Humanitarian Insight'!$B$2:$N$35,2,FALSE)</f>
        <v>685734819</v>
      </c>
      <c r="F25" s="38">
        <f>VLOOKUP($B25,'Humanitarian Insight'!$B$2:$N$35,10,FALSE)</f>
        <v>332066979</v>
      </c>
      <c r="G25" s="38">
        <f>VLOOKUP($B25,'Humanitarian Insight'!$B$2:$N$35,3,FALSE)</f>
        <v>315722744</v>
      </c>
      <c r="H25" s="81">
        <f t="shared" si="1"/>
        <v>18222.705040690311</v>
      </c>
      <c r="I25" s="103">
        <f t="shared" si="2"/>
        <v>5.7625253058012689</v>
      </c>
      <c r="J25" s="103">
        <f t="shared" si="3"/>
        <v>0.441889314519748</v>
      </c>
      <c r="K25" s="104">
        <f t="shared" si="4"/>
        <v>5.5236164314968494</v>
      </c>
    </row>
    <row r="26" spans="1:11" ht="15.75" customHeight="1" x14ac:dyDescent="0.2">
      <c r="A26" t="s">
        <v>100</v>
      </c>
      <c r="B26" t="s">
        <v>101</v>
      </c>
      <c r="C26" s="77">
        <f t="shared" si="0"/>
        <v>6.2407451378150789</v>
      </c>
      <c r="D26" s="38">
        <f>VLOOKUP($B26,'Humanitarian Insight'!$B$2:$N$35,9,FALSE)</f>
        <v>512912994</v>
      </c>
      <c r="E26" s="38">
        <f>VLOOKUP($B26,'Humanitarian Insight'!$B$2:$N$35,2,FALSE)</f>
        <v>388499803</v>
      </c>
      <c r="F26" s="38">
        <f>VLOOKUP($B26,'Humanitarian Insight'!$B$2:$N$35,10,FALSE)</f>
        <v>290857393</v>
      </c>
      <c r="G26" s="38">
        <f>VLOOKUP($B26,'Humanitarian Insight'!$B$2:$N$35,3,FALSE)</f>
        <v>229104274</v>
      </c>
      <c r="H26" s="81">
        <f t="shared" si="1"/>
        <v>17054.541711813894</v>
      </c>
      <c r="I26" s="103">
        <f t="shared" si="2"/>
        <v>5.3931196259678869</v>
      </c>
      <c r="J26" s="103">
        <f t="shared" si="3"/>
        <v>0.56706965197298165</v>
      </c>
      <c r="K26" s="104">
        <f t="shared" si="4"/>
        <v>7.08837064966227</v>
      </c>
    </row>
    <row r="27" spans="1:11" ht="15.75" customHeight="1" x14ac:dyDescent="0.2">
      <c r="A27" t="s">
        <v>69</v>
      </c>
      <c r="B27" t="s">
        <v>70</v>
      </c>
      <c r="C27" s="77">
        <f t="shared" si="0"/>
        <v>5.3404596727539513</v>
      </c>
      <c r="D27" s="38">
        <f>VLOOKUP($B27,'Humanitarian Insight'!$B$2:$N$35,9,FALSE)</f>
        <v>886738899</v>
      </c>
      <c r="E27" s="38">
        <f>VLOOKUP($B27,'Humanitarian Insight'!$B$2:$N$35,2,FALSE)</f>
        <v>825698032</v>
      </c>
      <c r="F27" s="38">
        <f>VLOOKUP($B27,'Humanitarian Insight'!$B$2:$N$35,10,FALSE)</f>
        <v>342521434</v>
      </c>
      <c r="G27" s="38">
        <f>VLOOKUP($B27,'Humanitarian Insight'!$B$2:$N$35,3,FALSE)</f>
        <v>336000000</v>
      </c>
      <c r="H27" s="81">
        <f t="shared" si="1"/>
        <v>18507.334600098417</v>
      </c>
      <c r="I27" s="103">
        <f t="shared" si="2"/>
        <v>5.852533075515252</v>
      </c>
      <c r="J27" s="103">
        <f t="shared" si="3"/>
        <v>0.38627090159941208</v>
      </c>
      <c r="K27" s="104">
        <f t="shared" si="4"/>
        <v>4.8283862699926505</v>
      </c>
    </row>
    <row r="28" spans="1:11" ht="15.75" customHeight="1" x14ac:dyDescent="0.2">
      <c r="A28" t="s">
        <v>90</v>
      </c>
      <c r="B28" t="s">
        <v>91</v>
      </c>
      <c r="C28" s="77">
        <f t="shared" si="0"/>
        <v>4.397058338976743</v>
      </c>
      <c r="D28" s="38">
        <f>VLOOKUP($B28,'Humanitarian Insight'!$B$2:$N$35,9,FALSE)</f>
        <v>583906619</v>
      </c>
      <c r="E28" s="38">
        <f>VLOOKUP($B28,'Humanitarian Insight'!$B$2:$N$35,2,FALSE)</f>
        <v>552598446</v>
      </c>
      <c r="F28" s="38">
        <f>VLOOKUP($B28,'Humanitarian Insight'!$B$2:$N$35,10,FALSE)</f>
        <v>201242662</v>
      </c>
      <c r="G28" s="38">
        <f>VLOOKUP($B28,'Humanitarian Insight'!$B$2:$N$35,3,FALSE)</f>
        <v>235354400</v>
      </c>
      <c r="H28" s="81">
        <f t="shared" si="1"/>
        <v>14186.002326236945</v>
      </c>
      <c r="I28" s="103">
        <f t="shared" si="2"/>
        <v>4.4860078243355757</v>
      </c>
      <c r="J28" s="103">
        <f t="shared" si="3"/>
        <v>0.34464870828943284</v>
      </c>
      <c r="K28" s="104">
        <f t="shared" si="4"/>
        <v>4.3081088536179104</v>
      </c>
    </row>
    <row r="29" spans="1:11" ht="15.75" customHeight="1" x14ac:dyDescent="0.2">
      <c r="A29" t="s">
        <v>79</v>
      </c>
      <c r="B29" t="s">
        <v>80</v>
      </c>
      <c r="C29" s="77">
        <f t="shared" si="0"/>
        <v>6.2872969535334233</v>
      </c>
      <c r="D29" s="38">
        <f>VLOOKUP($B29,'Humanitarian Insight'!$B$2:$N$35,9,FALSE)</f>
        <v>1311953516</v>
      </c>
      <c r="E29" s="38">
        <f>VLOOKUP($B29,'Humanitarian Insight'!$B$2:$N$35,2,FALSE)</f>
        <v>1127211641</v>
      </c>
      <c r="F29" s="38">
        <f>VLOOKUP($B29,'Humanitarian Insight'!$B$2:$N$35,10,FALSE)</f>
        <v>544972034</v>
      </c>
      <c r="G29" s="38">
        <f>VLOOKUP($B29,'Humanitarian Insight'!$B$2:$N$35,3,FALSE)</f>
        <v>515161357</v>
      </c>
      <c r="H29" s="81">
        <f t="shared" si="1"/>
        <v>23344.636086261871</v>
      </c>
      <c r="I29" s="103">
        <f t="shared" si="2"/>
        <v>7.3822221180346501</v>
      </c>
      <c r="J29" s="103">
        <f t="shared" si="3"/>
        <v>0.41538974312257571</v>
      </c>
      <c r="K29" s="104">
        <f t="shared" si="4"/>
        <v>5.1923717890321965</v>
      </c>
    </row>
    <row r="30" spans="1:11" ht="15.75" customHeight="1" x14ac:dyDescent="0.2">
      <c r="A30" t="s">
        <v>73</v>
      </c>
      <c r="B30" t="s">
        <v>74</v>
      </c>
      <c r="C30" s="326">
        <v>5</v>
      </c>
      <c r="D30" s="294" t="e">
        <f>VLOOKUP($B30,'Humanitarian Insight'!$B$2:$N$35,9,FALSE)</f>
        <v>#N/A</v>
      </c>
      <c r="E30" s="294" t="e">
        <f>VLOOKUP($B30,'Humanitarian Insight'!$B$2:$N$35,2,FALSE)</f>
        <v>#N/A</v>
      </c>
      <c r="F30" s="294" t="e">
        <f>VLOOKUP($B30,'Humanitarian Insight'!$B$2:$N$35,10,FALSE)</f>
        <v>#N/A</v>
      </c>
      <c r="G30" s="294" t="e">
        <f>VLOOKUP($B30,'Humanitarian Insight'!$B$2:$N$35,3,FALSE)</f>
        <v>#N/A</v>
      </c>
      <c r="H30" s="81" t="e">
        <f t="shared" ref="H30" si="10">IF(F30&gt;0,SQRT(F30),SQRT(G30))</f>
        <v>#N/A</v>
      </c>
      <c r="I30" s="103" t="e">
        <f t="shared" ref="I30" si="11">((H30-$H$2)/($H$3-$H$2))*10</f>
        <v>#N/A</v>
      </c>
      <c r="J30" s="103" t="e">
        <f t="shared" ref="J30" si="12">IF(F30&gt;0,(F30/D30),(G30/E30))</f>
        <v>#N/A</v>
      </c>
      <c r="K30" s="104" t="e">
        <f t="shared" ref="K30" si="13">((J30-$J$2)/($J$3-$J$2))*10</f>
        <v>#N/A</v>
      </c>
    </row>
    <row r="31" spans="1:11" ht="15.75" customHeight="1" x14ac:dyDescent="0.2">
      <c r="A31" t="s">
        <v>77</v>
      </c>
      <c r="B31" t="s">
        <v>78</v>
      </c>
      <c r="C31" s="77">
        <f t="shared" si="0"/>
        <v>6.6517172951185577</v>
      </c>
      <c r="D31" s="38">
        <f>VLOOKUP($B31,'Humanitarian Insight'!$B$2:$N$35,9,FALSE)</f>
        <v>376729201</v>
      </c>
      <c r="E31" s="38">
        <f>VLOOKUP($B31,'Humanitarian Insight'!$B$2:$N$35,2,FALSE)</f>
        <v>509872202</v>
      </c>
      <c r="F31" s="38">
        <f>VLOOKUP($B31,'Humanitarian Insight'!$B$2:$N$35,10,FALSE)</f>
        <v>250193420</v>
      </c>
      <c r="G31" s="38">
        <f>VLOOKUP($B31,'Humanitarian Insight'!$B$2:$N$35,3,FALSE)</f>
        <v>331761294</v>
      </c>
      <c r="H31" s="81">
        <f t="shared" si="1"/>
        <v>15817.503595700555</v>
      </c>
      <c r="I31" s="103">
        <f t="shared" si="2"/>
        <v>5.0019338260316886</v>
      </c>
      <c r="J31" s="103">
        <f t="shared" si="3"/>
        <v>0.66412006113643418</v>
      </c>
      <c r="K31" s="104">
        <f t="shared" si="4"/>
        <v>8.3015007642054268</v>
      </c>
    </row>
    <row r="32" spans="1:11" ht="15.75" customHeight="1" x14ac:dyDescent="0.2">
      <c r="A32" t="s">
        <v>57</v>
      </c>
      <c r="B32" t="s">
        <v>58</v>
      </c>
      <c r="C32" s="77">
        <f t="shared" si="0"/>
        <v>8.2942554286365642</v>
      </c>
      <c r="D32" s="38">
        <f>VLOOKUP($B32,'Humanitarian Insight'!$B$2:$N$35,9,FALSE)</f>
        <v>2599161218</v>
      </c>
      <c r="E32" s="38">
        <f>VLOOKUP($B32,'Humanitarian Insight'!$B$2:$N$35,2,FALSE)</f>
        <v>2267407090</v>
      </c>
      <c r="F32" s="38">
        <f>VLOOKUP($B32,'Humanitarian Insight'!$B$2:$N$35,10,FALSE)</f>
        <v>1185402724</v>
      </c>
      <c r="G32" s="38">
        <f>VLOOKUP($B32,'Humanitarian Insight'!$B$2:$N$35,3,FALSE)</f>
        <v>1135772763</v>
      </c>
      <c r="H32" s="81">
        <f t="shared" si="1"/>
        <v>34429.677953765415</v>
      </c>
      <c r="I32" s="103">
        <f t="shared" si="2"/>
        <v>10.887620143998413</v>
      </c>
      <c r="J32" s="103">
        <f t="shared" si="3"/>
        <v>0.45607125706197732</v>
      </c>
      <c r="K32" s="104">
        <f t="shared" si="4"/>
        <v>5.7008907132747169</v>
      </c>
    </row>
    <row r="33" spans="1:12" ht="15.75" customHeight="1" x14ac:dyDescent="0.2">
      <c r="A33" t="s">
        <v>59</v>
      </c>
      <c r="B33" t="s">
        <v>60</v>
      </c>
      <c r="C33" s="77">
        <f t="shared" si="0"/>
        <v>6.2265150996723264</v>
      </c>
      <c r="D33" s="38">
        <f>VLOOKUP($B33,'Humanitarian Insight'!$B$2:$N$35,9,FALSE)</f>
        <v>2055885216</v>
      </c>
      <c r="E33" s="38">
        <f>VLOOKUP($B33,'Humanitarian Insight'!$B$2:$N$35,2,FALSE)</f>
        <v>1699588587</v>
      </c>
      <c r="F33" s="38">
        <f>VLOOKUP($B33,'Humanitarian Insight'!$B$2:$N$35,10,FALSE)</f>
        <v>685964166</v>
      </c>
      <c r="G33" s="38">
        <f>VLOOKUP($B33,'Humanitarian Insight'!$B$2:$N$35,3,FALSE)</f>
        <v>685003978</v>
      </c>
      <c r="H33" s="81">
        <f t="shared" si="1"/>
        <v>26190.917624245241</v>
      </c>
      <c r="I33" s="103">
        <f t="shared" si="2"/>
        <v>8.2822953702461017</v>
      </c>
      <c r="J33" s="103">
        <f t="shared" si="3"/>
        <v>0.33365878632788415</v>
      </c>
      <c r="K33" s="104">
        <f t="shared" si="4"/>
        <v>4.170734829098552</v>
      </c>
    </row>
    <row r="34" spans="1:12" ht="15.75" customHeight="1" x14ac:dyDescent="0.2">
      <c r="A34" t="s">
        <v>53</v>
      </c>
      <c r="B34" t="s">
        <v>54</v>
      </c>
      <c r="C34" s="77">
        <f t="shared" si="0"/>
        <v>6.3877594792209127</v>
      </c>
      <c r="D34" s="38">
        <f>VLOOKUP($B34,'Humanitarian Insight'!$B$2:$N$35,9,FALSE)</f>
        <v>2565230201</v>
      </c>
      <c r="E34" s="38">
        <f>VLOOKUP($B34,'Humanitarian Insight'!$B$2:$N$35,2,FALSE)</f>
        <v>1936697740</v>
      </c>
      <c r="F34" s="38">
        <f>VLOOKUP($B34,'Humanitarian Insight'!$B$2:$N$35,10,FALSE)</f>
        <v>793599680</v>
      </c>
      <c r="G34" s="38">
        <f>VLOOKUP($B34,'Humanitarian Insight'!$B$2:$N$35,3,FALSE)</f>
        <v>791989796</v>
      </c>
      <c r="H34" s="81">
        <f t="shared" si="1"/>
        <v>28170.9012990355</v>
      </c>
      <c r="I34" s="103">
        <f t="shared" si="2"/>
        <v>8.9084211844748342</v>
      </c>
      <c r="J34" s="103">
        <f t="shared" si="3"/>
        <v>0.3093678219173594</v>
      </c>
      <c r="K34" s="104">
        <f t="shared" si="4"/>
        <v>3.8670977739669921</v>
      </c>
    </row>
    <row r="35" spans="1:12" ht="15.75" customHeight="1" x14ac:dyDescent="0.2">
      <c r="A35" t="s">
        <v>55</v>
      </c>
      <c r="B35" t="s">
        <v>56</v>
      </c>
      <c r="C35" s="77">
        <f t="shared" si="0"/>
        <v>9.9</v>
      </c>
      <c r="D35" s="38">
        <f>VLOOKUP($B35,'Humanitarian Insight'!$B$2:$N$35,9,FALSE)</f>
        <v>5413802598</v>
      </c>
      <c r="E35" s="38">
        <f>VLOOKUP($B35,'Humanitarian Insight'!$B$2:$N$35,2,FALSE)</f>
        <v>4444280227</v>
      </c>
      <c r="F35" s="38">
        <f>VLOOKUP($B35,'Humanitarian Insight'!$B$2:$N$35,10,FALSE)</f>
        <v>3485850184</v>
      </c>
      <c r="G35" s="38">
        <f>VLOOKUP($B35,'Humanitarian Insight'!$B$2:$N$35,3,FALSE)</f>
        <v>2244209851</v>
      </c>
      <c r="H35" s="81">
        <f t="shared" si="1"/>
        <v>59041.088946597185</v>
      </c>
      <c r="I35" s="103">
        <f t="shared" si="2"/>
        <v>18.670431660783851</v>
      </c>
      <c r="J35" s="103">
        <f t="shared" si="3"/>
        <v>0.64388202578493792</v>
      </c>
      <c r="K35" s="104">
        <f t="shared" si="4"/>
        <v>8.0485253223117237</v>
      </c>
    </row>
    <row r="36" spans="1:12" ht="15.75" customHeight="1" x14ac:dyDescent="0.2">
      <c r="A36" t="s">
        <v>94</v>
      </c>
      <c r="B36" t="s">
        <v>95</v>
      </c>
      <c r="C36" s="77">
        <f t="shared" si="0"/>
        <v>9.9</v>
      </c>
      <c r="D36" s="38">
        <f>VLOOKUP($B36,'Humanitarian Insight'!$B$2:$N$35,9,FALSE)</f>
        <v>3945656687</v>
      </c>
      <c r="E36" s="38">
        <f>VLOOKUP($B36,'Humanitarian Insight'!$B$2:$N$35,2,FALSE)</f>
        <v>0</v>
      </c>
      <c r="F36" s="38">
        <f>VLOOKUP($B36,'Humanitarian Insight'!$B$2:$N$35,10,FALSE)</f>
        <v>2477644889</v>
      </c>
      <c r="G36" s="38">
        <f>VLOOKUP($B36,'Humanitarian Insight'!$B$2:$N$35,3,FALSE)</f>
        <v>0</v>
      </c>
      <c r="H36" s="81">
        <f t="shared" si="1"/>
        <v>49775.946892048174</v>
      </c>
      <c r="I36" s="103">
        <f t="shared" si="2"/>
        <v>15.740536487045162</v>
      </c>
      <c r="J36" s="103">
        <f t="shared" si="3"/>
        <v>0.62794233901881291</v>
      </c>
      <c r="K36" s="104">
        <f t="shared" si="4"/>
        <v>7.8492792377351606</v>
      </c>
    </row>
    <row r="37" spans="1:12" s="17" customFormat="1" ht="15.75" customHeight="1" x14ac:dyDescent="0.2">
      <c r="A37" s="17" t="s">
        <v>96</v>
      </c>
      <c r="B37" s="17" t="s">
        <v>97</v>
      </c>
      <c r="C37" s="77">
        <f t="shared" si="0"/>
        <v>4.4955675193042772</v>
      </c>
      <c r="D37" s="38">
        <f>VLOOKUP($B37,'Humanitarian Insight'!$B$2:$N$35,9,FALSE)</f>
        <v>719581691</v>
      </c>
      <c r="E37" s="38">
        <f>VLOOKUP($B37,'Humanitarian Insight'!$B$2:$N$35,2,FALSE)</f>
        <v>794987748</v>
      </c>
      <c r="F37" s="38">
        <f>VLOOKUP($B37,'Humanitarian Insight'!$B$2:$N$35,10,FALSE)</f>
        <v>237213290</v>
      </c>
      <c r="G37" s="38">
        <f>VLOOKUP($B37,'Humanitarian Insight'!$B$2:$N$35,3,FALSE)</f>
        <v>240143914</v>
      </c>
      <c r="H37" s="81">
        <f t="shared" si="1"/>
        <v>15401.73009762215</v>
      </c>
      <c r="I37" s="103">
        <f t="shared" si="2"/>
        <v>4.8704547015653485</v>
      </c>
      <c r="J37" s="103">
        <f t="shared" si="3"/>
        <v>0.32965442696345648</v>
      </c>
      <c r="K37" s="104">
        <f t="shared" si="4"/>
        <v>4.1206803370432059</v>
      </c>
    </row>
    <row r="38" spans="1:12" s="17" customFormat="1" ht="15.75" customHeight="1" x14ac:dyDescent="0.2">
      <c r="A38" s="17" t="s">
        <v>51</v>
      </c>
      <c r="B38" s="17" t="s">
        <v>52</v>
      </c>
      <c r="C38" s="77">
        <f t="shared" si="0"/>
        <v>9.9</v>
      </c>
      <c r="D38" s="38">
        <f>VLOOKUP($B38,'Humanitarian Insight'!$B$2:$N$35,9,FALSE)</f>
        <v>4344155316</v>
      </c>
      <c r="E38" s="38">
        <f>VLOOKUP($B38,'Humanitarian Insight'!$B$2:$N$35,2,FALSE)</f>
        <v>4271938417</v>
      </c>
      <c r="F38" s="38">
        <f>VLOOKUP($B38,'Humanitarian Insight'!$B$2:$N$35,10,FALSE)</f>
        <v>2618200000</v>
      </c>
      <c r="G38" s="38">
        <f>VLOOKUP($B38,'Humanitarian Insight'!$B$2:$N$35,3,FALSE)</f>
        <v>2393894164</v>
      </c>
      <c r="H38" s="81">
        <f t="shared" si="1"/>
        <v>51168.349592301682</v>
      </c>
      <c r="I38" s="103">
        <f t="shared" si="2"/>
        <v>16.18085288234214</v>
      </c>
      <c r="J38" s="103">
        <f t="shared" si="3"/>
        <v>0.60269484158563169</v>
      </c>
      <c r="K38" s="104">
        <f t="shared" si="4"/>
        <v>7.5336855198203958</v>
      </c>
    </row>
    <row r="39" spans="1:12" s="17" customFormat="1" ht="15.75" customHeight="1" x14ac:dyDescent="0.2">
      <c r="C39" s="27"/>
      <c r="D39" s="27"/>
      <c r="E39" s="27"/>
      <c r="F39" s="27"/>
      <c r="G39" s="27"/>
      <c r="H39" s="27"/>
      <c r="I39" s="27"/>
      <c r="J39" s="27"/>
      <c r="K39" s="27"/>
      <c r="L39" s="235"/>
    </row>
    <row r="40" spans="1:12" ht="15.75" customHeight="1" x14ac:dyDescent="0.2"/>
    <row r="41" spans="1:12" ht="15.75" customHeight="1" x14ac:dyDescent="0.2"/>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sheetProtection sheet="1" objects="1" scenarios="1"/>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0732-8E98-4A0F-BB8A-2D04208D8B96}">
  <sheetPr>
    <tabColor rgb="FFE2EFDA"/>
  </sheetPr>
  <dimension ref="A1:N1001"/>
  <sheetViews>
    <sheetView showGridLines="0" workbookViewId="0">
      <selection activeCell="E41" sqref="E41"/>
    </sheetView>
  </sheetViews>
  <sheetFormatPr baseColWidth="10" defaultColWidth="11.1640625" defaultRowHeight="15" customHeight="1" x14ac:dyDescent="0.2"/>
  <cols>
    <col min="1" max="1" width="11.6640625" bestFit="1" customWidth="1"/>
    <col min="2" max="2" width="5.5" bestFit="1" customWidth="1"/>
    <col min="3" max="3" width="12.1640625" customWidth="1"/>
    <col min="4" max="4" width="12.83203125" style="19" customWidth="1"/>
    <col min="5" max="7" width="14.5" style="19" customWidth="1"/>
    <col min="8" max="8" width="10.6640625" style="19" customWidth="1"/>
    <col min="9" max="12" width="14.5" style="19" customWidth="1"/>
    <col min="13" max="13" width="10.6640625" style="19" customWidth="1"/>
    <col min="14" max="14" width="12.1640625" style="19" customWidth="1"/>
    <col min="15" max="15" width="12.83203125" bestFit="1" customWidth="1"/>
    <col min="16" max="16" width="12.83203125" customWidth="1"/>
    <col min="17" max="17" width="9"/>
  </cols>
  <sheetData>
    <row r="1" spans="1:13" s="31" customFormat="1" ht="101.25" customHeight="1" x14ac:dyDescent="0.2">
      <c r="C1" s="80" t="s">
        <v>738</v>
      </c>
      <c r="D1" s="216" t="s">
        <v>731</v>
      </c>
      <c r="E1" s="216" t="s">
        <v>739</v>
      </c>
      <c r="F1" s="216" t="s">
        <v>740</v>
      </c>
      <c r="G1" s="260" t="s">
        <v>741</v>
      </c>
      <c r="H1" s="216" t="s">
        <v>742</v>
      </c>
      <c r="I1" s="216" t="s">
        <v>743</v>
      </c>
      <c r="J1" s="216" t="s">
        <v>744</v>
      </c>
      <c r="K1" s="216" t="s">
        <v>745</v>
      </c>
      <c r="L1" s="260" t="s">
        <v>746</v>
      </c>
      <c r="M1" s="216" t="s">
        <v>747</v>
      </c>
    </row>
    <row r="2" spans="1:13" s="92" customFormat="1" ht="15.75" customHeight="1" x14ac:dyDescent="0.15">
      <c r="A2" s="87"/>
      <c r="B2" s="88" t="s">
        <v>121</v>
      </c>
      <c r="C2" s="91"/>
      <c r="D2" s="89"/>
      <c r="E2" s="89"/>
      <c r="F2" s="328">
        <v>2911</v>
      </c>
      <c r="G2" s="89"/>
      <c r="H2" s="91"/>
      <c r="I2" s="89"/>
      <c r="J2" s="89"/>
      <c r="K2" s="89">
        <v>0</v>
      </c>
      <c r="L2" s="89"/>
      <c r="M2" s="91"/>
    </row>
    <row r="3" spans="1:13" s="92" customFormat="1" ht="15.75" customHeight="1" x14ac:dyDescent="0.15">
      <c r="A3" s="87"/>
      <c r="B3" s="88" t="s">
        <v>123</v>
      </c>
      <c r="C3" s="91"/>
      <c r="D3" s="90"/>
      <c r="E3" s="89"/>
      <c r="F3" s="241">
        <f>SQRT(2500000000)</f>
        <v>50000</v>
      </c>
      <c r="G3" s="89"/>
      <c r="H3" s="91"/>
      <c r="I3" s="89"/>
      <c r="J3" s="89"/>
      <c r="K3" s="89">
        <f>SQRT(20000000)</f>
        <v>4472.1359549995796</v>
      </c>
      <c r="L3" s="89"/>
      <c r="M3" s="91"/>
    </row>
    <row r="4" spans="1:13" s="22" customFormat="1" ht="15.75" customHeight="1" x14ac:dyDescent="0.2">
      <c r="A4" s="15" t="s">
        <v>124</v>
      </c>
      <c r="B4" s="16" t="s">
        <v>47</v>
      </c>
      <c r="C4" s="107" t="s">
        <v>125</v>
      </c>
      <c r="D4" s="106" t="s">
        <v>128</v>
      </c>
      <c r="E4" s="213" t="s">
        <v>128</v>
      </c>
      <c r="F4" s="213" t="s">
        <v>155</v>
      </c>
      <c r="G4" s="213" t="s">
        <v>155</v>
      </c>
      <c r="H4" s="213" t="s">
        <v>155</v>
      </c>
      <c r="I4" s="106" t="s">
        <v>128</v>
      </c>
      <c r="J4" s="106" t="s">
        <v>128</v>
      </c>
      <c r="K4" s="106" t="s">
        <v>155</v>
      </c>
      <c r="L4" s="106" t="s">
        <v>155</v>
      </c>
      <c r="M4" s="213" t="s">
        <v>155</v>
      </c>
    </row>
    <row r="5" spans="1:13" ht="15.75" customHeight="1" x14ac:dyDescent="0.2">
      <c r="A5" t="s">
        <v>48</v>
      </c>
      <c r="B5" t="s">
        <v>50</v>
      </c>
      <c r="C5" s="77">
        <f>AVERAGE(G5,H5,L5,M5)</f>
        <v>8.2207357729449377</v>
      </c>
      <c r="D5" s="21">
        <f>VLOOKUP($B5,'Humanitarian Insight'!$B$2:$N$35,2,FALSE)</f>
        <v>4442200000</v>
      </c>
      <c r="E5" s="38">
        <f>VLOOKUP($B5,'Humanitarian Insight'!$B$2:$N$35,6,FALSE)</f>
        <v>3307628188</v>
      </c>
      <c r="F5" s="214">
        <f>SQRT(E5)</f>
        <v>57511.982994850732</v>
      </c>
      <c r="G5" s="103">
        <f>(((F5-$F$2)/($F$3-$F$2))*9)+1</f>
        <v>11.435746075594228</v>
      </c>
      <c r="H5" s="76">
        <f>9.9-((E5/D5)*5)</f>
        <v>6.1770381927873581</v>
      </c>
      <c r="I5" s="21">
        <f>VLOOKUP($B5,'Humanitarian Insight'!$B$2:$N$35,7,FALSE)</f>
        <v>22072409</v>
      </c>
      <c r="J5" s="21">
        <f>VLOOKUP($B5,'Humanitarian Insight'!$B$2:$N$35,8,FALSE)</f>
        <v>26058498</v>
      </c>
      <c r="K5" s="182">
        <f>SQRT(J5)</f>
        <v>5104.7524915513777</v>
      </c>
      <c r="L5" s="103">
        <f>(((K5-$K$2)/($K$3-$K$2))*9)+1</f>
        <v>11.273116221478272</v>
      </c>
      <c r="M5" s="76">
        <f>9.9-((J5/I5)*5)</f>
        <v>3.9970426019198904</v>
      </c>
    </row>
    <row r="6" spans="1:13" ht="15.75" customHeight="1" x14ac:dyDescent="0.2">
      <c r="A6" t="s">
        <v>133</v>
      </c>
      <c r="B6" t="s">
        <v>134</v>
      </c>
      <c r="C6" s="77">
        <f t="shared" ref="C6:C10" si="0">AVERAGE(G6,H6,L6,M6)</f>
        <v>4.9954537326294828</v>
      </c>
      <c r="D6" s="21">
        <f>VLOOKUP($B6,'Humanitarian Insight'!$B$2:$N$35,2,FALSE)</f>
        <v>881030780</v>
      </c>
      <c r="E6" s="38">
        <f>VLOOKUP($B6,'Humanitarian Insight'!$B$2:$N$35,6,FALSE)</f>
        <v>611468412</v>
      </c>
      <c r="F6" s="214">
        <f t="shared" ref="F6:F38" si="1">SQRT(E6)</f>
        <v>24727.887333939387</v>
      </c>
      <c r="G6" s="103">
        <f t="shared" ref="G6:G38" si="2">(((F6-$F$2)/($F$3-$F$2))*9)+1</f>
        <v>5.1698058146372716</v>
      </c>
      <c r="H6" s="76">
        <f t="shared" ref="H6:H38" si="3">9.9-((E6/D6)*5)</f>
        <v>6.4298124317518175</v>
      </c>
      <c r="I6" s="21">
        <f>VLOOKUP($B6,'Humanitarian Insight'!$B$2:$N$35,7,FALSE)</f>
        <v>1459862</v>
      </c>
      <c r="J6" s="21">
        <f>VLOOKUP($B6,'Humanitarian Insight'!$B$2:$N$35,8,FALSE)</f>
        <v>1440303</v>
      </c>
      <c r="K6" s="182">
        <f t="shared" ref="K6:K38" si="4">SQRT(J6)</f>
        <v>1200.1262433594227</v>
      </c>
      <c r="L6" s="103">
        <f t="shared" ref="L6:L38" si="5">(((K6-$K$2)/($K$3-$K$2))*9)+1</f>
        <v>3.4152074755598125</v>
      </c>
      <c r="M6" s="76">
        <f t="shared" ref="M6:M38" si="6">9.9-((J6/I6)*5)</f>
        <v>4.9669892085690295</v>
      </c>
    </row>
    <row r="7" spans="1:13" ht="15.75" customHeight="1" x14ac:dyDescent="0.2">
      <c r="A7" t="s">
        <v>98</v>
      </c>
      <c r="B7" t="s">
        <v>99</v>
      </c>
      <c r="C7" s="77">
        <f t="shared" si="0"/>
        <v>5.6886811130464281</v>
      </c>
      <c r="D7" s="21">
        <f>VLOOKUP($B7,'Humanitarian Insight'!$B$2:$N$35,2,FALSE)</f>
        <v>805099698</v>
      </c>
      <c r="E7" s="21">
        <f>VLOOKUP($B7,'Humanitarian Insight'!$B$2:$N$35,6,FALSE)</f>
        <v>350315575</v>
      </c>
      <c r="F7" s="182">
        <f t="shared" si="1"/>
        <v>18716.719130232199</v>
      </c>
      <c r="G7" s="103">
        <f t="shared" si="2"/>
        <v>4.0209066272821632</v>
      </c>
      <c r="H7" s="76">
        <f t="shared" si="3"/>
        <v>7.7243963084929641</v>
      </c>
      <c r="I7" s="21">
        <f>VLOOKUP($B7,'Humanitarian Insight'!$B$2:$N$35,7,FALSE)</f>
        <v>3792333</v>
      </c>
      <c r="J7" s="21">
        <f>VLOOKUP($B7,'Humanitarian Insight'!$B$2:$N$35,8,FALSE)</f>
        <v>2160677</v>
      </c>
      <c r="K7" s="182">
        <f t="shared" si="4"/>
        <v>1469.924147702867</v>
      </c>
      <c r="L7" s="103">
        <f t="shared" si="5"/>
        <v>3.9581652844288464</v>
      </c>
      <c r="M7" s="76">
        <f t="shared" si="6"/>
        <v>7.0512562319817382</v>
      </c>
    </row>
    <row r="8" spans="1:13" ht="15.75" customHeight="1" x14ac:dyDescent="0.2">
      <c r="A8" t="s">
        <v>88</v>
      </c>
      <c r="B8" t="s">
        <v>89</v>
      </c>
      <c r="C8" s="77">
        <f t="shared" si="0"/>
        <v>4.7340911446238803</v>
      </c>
      <c r="D8" s="21">
        <f>VLOOKUP($B8,'Humanitarian Insight'!$B$2:$N$35,2,FALSE)</f>
        <v>182414025</v>
      </c>
      <c r="E8" s="21">
        <f>VLOOKUP($B8,'Humanitarian Insight'!$B$2:$N$35,6,FALSE)</f>
        <v>77440116</v>
      </c>
      <c r="F8" s="182">
        <f t="shared" si="1"/>
        <v>8800.0065909066234</v>
      </c>
      <c r="G8" s="103">
        <f t="shared" si="2"/>
        <v>2.1255507510917542</v>
      </c>
      <c r="H8" s="76">
        <f t="shared" si="3"/>
        <v>7.7773530160304292</v>
      </c>
      <c r="I8" s="21">
        <f>VLOOKUP($B8,'Humanitarian Insight'!$B$2:$N$35,7,FALSE)</f>
        <v>947410</v>
      </c>
      <c r="J8" s="21">
        <f>VLOOKUP($B8,'Humanitarian Insight'!$B$2:$N$35,8,FALSE)</f>
        <v>664526</v>
      </c>
      <c r="K8" s="182">
        <f t="shared" si="4"/>
        <v>815.1846416610166</v>
      </c>
      <c r="L8" s="103">
        <f t="shared" si="5"/>
        <v>2.6405274456710561</v>
      </c>
      <c r="M8" s="76">
        <f t="shared" si="6"/>
        <v>6.3929333657022838</v>
      </c>
    </row>
    <row r="9" spans="1:13" ht="15.75" customHeight="1" x14ac:dyDescent="0.2">
      <c r="A9" t="s">
        <v>92</v>
      </c>
      <c r="B9" t="s">
        <v>93</v>
      </c>
      <c r="C9" s="77">
        <f t="shared" si="0"/>
        <v>5.2123781444723409</v>
      </c>
      <c r="D9" s="21">
        <f>VLOOKUP($B9,'Humanitarian Insight'!$B$2:$N$35,2,FALSE)</f>
        <v>376046051</v>
      </c>
      <c r="E9" s="21">
        <f>VLOOKUP($B9,'Humanitarian Insight'!$B$2:$N$35,6,FALSE)</f>
        <v>207510688</v>
      </c>
      <c r="F9" s="182">
        <f t="shared" si="1"/>
        <v>14405.231272006708</v>
      </c>
      <c r="G9" s="103">
        <f t="shared" si="2"/>
        <v>3.1968629923774206</v>
      </c>
      <c r="H9" s="76">
        <f t="shared" si="3"/>
        <v>7.1408872869668834</v>
      </c>
      <c r="I9" s="21">
        <f>VLOOKUP($B9,'Humanitarian Insight'!$B$2:$N$35,7,FALSE)</f>
        <v>2612681</v>
      </c>
      <c r="J9" s="21">
        <f>VLOOKUP($B9,'Humanitarian Insight'!$B$2:$N$35,8,FALSE)</f>
        <v>1483829</v>
      </c>
      <c r="K9" s="182">
        <f t="shared" si="4"/>
        <v>1218.1251988198915</v>
      </c>
      <c r="L9" s="103">
        <f t="shared" si="5"/>
        <v>3.4514296747000515</v>
      </c>
      <c r="M9" s="76">
        <f t="shared" si="6"/>
        <v>7.0603326238450084</v>
      </c>
    </row>
    <row r="10" spans="1:13" ht="15.75" customHeight="1" x14ac:dyDescent="0.2">
      <c r="A10" t="s">
        <v>75</v>
      </c>
      <c r="B10" t="s">
        <v>76</v>
      </c>
      <c r="C10" s="77">
        <f t="shared" si="0"/>
        <v>4.8101838913033319</v>
      </c>
      <c r="D10" s="21">
        <f>VLOOKUP($B10,'Humanitarian Insight'!$B$2:$N$35,2,FALSE)</f>
        <v>461253975</v>
      </c>
      <c r="E10" s="21">
        <f>VLOOKUP($B10,'Humanitarian Insight'!$B$2:$N$35,6,FALSE)</f>
        <v>452603973</v>
      </c>
      <c r="F10" s="182">
        <f t="shared" si="1"/>
        <v>21274.491133749827</v>
      </c>
      <c r="G10" s="103">
        <f t="shared" si="2"/>
        <v>4.5097670412144755</v>
      </c>
      <c r="H10" s="76">
        <f t="shared" si="3"/>
        <v>4.9937661512835749</v>
      </c>
      <c r="I10" s="21">
        <f>VLOOKUP($B10,'Humanitarian Insight'!$B$2:$N$35,7,FALSE)</f>
        <v>2040973</v>
      </c>
      <c r="J10" s="21">
        <f>VLOOKUP($B10,'Humanitarian Insight'!$B$2:$N$35,8,FALSE)</f>
        <v>1470959</v>
      </c>
      <c r="K10" s="182">
        <f t="shared" si="4"/>
        <v>1212.8309857519307</v>
      </c>
      <c r="L10" s="103">
        <f t="shared" si="5"/>
        <v>3.4407752764234565</v>
      </c>
      <c r="M10" s="76">
        <f t="shared" si="6"/>
        <v>6.2964270962918185</v>
      </c>
    </row>
    <row r="11" spans="1:13" ht="15.75" customHeight="1" x14ac:dyDescent="0.2">
      <c r="A11" t="s">
        <v>67</v>
      </c>
      <c r="B11" t="s">
        <v>68</v>
      </c>
      <c r="C11" s="77">
        <f t="shared" ref="C11:C24" si="7">AVERAGE(G11,H11,L11,M11)</f>
        <v>5.3395623722526722</v>
      </c>
      <c r="D11" s="21">
        <f>VLOOKUP($B11,'Humanitarian Insight'!$B$2:$N$35,2,FALSE)</f>
        <v>510909899</v>
      </c>
      <c r="E11" s="21">
        <f>VLOOKUP($B11,'Humanitarian Insight'!$B$2:$N$35,6,FALSE)</f>
        <v>312705464</v>
      </c>
      <c r="F11" s="182">
        <f t="shared" si="1"/>
        <v>17683.479974258462</v>
      </c>
      <c r="G11" s="103">
        <f t="shared" si="2"/>
        <v>3.8234262729793831</v>
      </c>
      <c r="H11" s="76">
        <f t="shared" si="3"/>
        <v>6.8397200503253508</v>
      </c>
      <c r="I11" s="21">
        <f>VLOOKUP($B11,'Humanitarian Insight'!$B$2:$N$35,7,FALSE)</f>
        <v>3943266</v>
      </c>
      <c r="J11" s="21">
        <f>VLOOKUP($B11,'Humanitarian Insight'!$B$2:$N$35,8,FALSE)</f>
        <v>2832962</v>
      </c>
      <c r="K11" s="182">
        <f t="shared" si="4"/>
        <v>1683.1405170097951</v>
      </c>
      <c r="L11" s="103">
        <f t="shared" si="5"/>
        <v>4.3872549505462377</v>
      </c>
      <c r="M11" s="76">
        <f t="shared" si="6"/>
        <v>6.3078482151597175</v>
      </c>
    </row>
    <row r="12" spans="1:13" ht="15.75" customHeight="1" x14ac:dyDescent="0.2">
      <c r="A12" t="s">
        <v>104</v>
      </c>
      <c r="B12" t="s">
        <v>105</v>
      </c>
      <c r="C12" s="77">
        <f t="shared" si="7"/>
        <v>4.7601161458939298</v>
      </c>
      <c r="D12" s="21">
        <f>VLOOKUP($B12,'Humanitarian Insight'!$B$2:$N$35,2,FALSE)</f>
        <v>282854048</v>
      </c>
      <c r="E12" s="21">
        <f>VLOOKUP($B12,'Humanitarian Insight'!$B$2:$N$35,6,FALSE)</f>
        <v>118871949</v>
      </c>
      <c r="F12" s="182">
        <f t="shared" si="1"/>
        <v>10902.841326920245</v>
      </c>
      <c r="G12" s="103">
        <f t="shared" si="2"/>
        <v>2.5274601699395234</v>
      </c>
      <c r="H12" s="76">
        <f t="shared" si="3"/>
        <v>7.7987051831056</v>
      </c>
      <c r="I12" s="21">
        <f>VLOOKUP($B12,'Humanitarian Insight'!$B$2:$N$35,7,FALSE)</f>
        <v>1598015</v>
      </c>
      <c r="J12" s="21">
        <f>VLOOKUP($B12,'Humanitarian Insight'!$B$2:$N$35,8,FALSE)</f>
        <v>1481399</v>
      </c>
      <c r="K12" s="182">
        <f t="shared" si="4"/>
        <v>1217.127355702763</v>
      </c>
      <c r="L12" s="103">
        <f t="shared" si="5"/>
        <v>3.4494215541633499</v>
      </c>
      <c r="M12" s="76">
        <f t="shared" si="6"/>
        <v>5.2648776763672434</v>
      </c>
    </row>
    <row r="13" spans="1:13" ht="15.75" customHeight="1" x14ac:dyDescent="0.2">
      <c r="A13" t="s">
        <v>63</v>
      </c>
      <c r="B13" t="s">
        <v>64</v>
      </c>
      <c r="C13" s="77">
        <f t="shared" si="7"/>
        <v>6.4808694622294585</v>
      </c>
      <c r="D13" s="21">
        <f>VLOOKUP($B13,'Humanitarian Insight'!$B$2:$N$35,2,FALSE)</f>
        <v>1881674597</v>
      </c>
      <c r="E13" s="21">
        <f>VLOOKUP($B13,'Humanitarian Insight'!$B$2:$N$35,6,FALSE)</f>
        <v>1004216996</v>
      </c>
      <c r="F13" s="182">
        <f t="shared" si="1"/>
        <v>31689.383017029537</v>
      </c>
      <c r="G13" s="103">
        <f t="shared" si="2"/>
        <v>6.500338659841276</v>
      </c>
      <c r="H13" s="76">
        <f t="shared" si="3"/>
        <v>7.2315869874604042</v>
      </c>
      <c r="I13" s="21">
        <f>VLOOKUP($B13,'Humanitarian Insight'!$B$2:$N$35,7,FALSE)</f>
        <v>8811320</v>
      </c>
      <c r="J13" s="21">
        <f>VLOOKUP($B13,'Humanitarian Insight'!$B$2:$N$35,8,FALSE)</f>
        <v>7317515</v>
      </c>
      <c r="K13" s="182">
        <f t="shared" si="4"/>
        <v>2705.0905714966366</v>
      </c>
      <c r="L13" s="103">
        <f t="shared" si="5"/>
        <v>6.4438897628442104</v>
      </c>
      <c r="M13" s="76">
        <f t="shared" si="6"/>
        <v>5.7476624387719433</v>
      </c>
    </row>
    <row r="14" spans="1:13" ht="15.75" customHeight="1" x14ac:dyDescent="0.2">
      <c r="A14" t="s">
        <v>114</v>
      </c>
      <c r="B14" t="s">
        <v>115</v>
      </c>
      <c r="C14" s="77">
        <f t="shared" si="7"/>
        <v>5.1658647302413527</v>
      </c>
      <c r="D14" s="21">
        <f>VLOOKUP($B14,'Humanitarian Insight'!$B$2:$N$35,2,FALSE)</f>
        <v>114317607</v>
      </c>
      <c r="E14" s="21">
        <f>VLOOKUP($B14,'Humanitarian Insight'!$B$2:$N$35,6,FALSE)</f>
        <v>33391763</v>
      </c>
      <c r="F14" s="182">
        <f t="shared" si="1"/>
        <v>5778.5606339295255</v>
      </c>
      <c r="G14" s="103">
        <f t="shared" si="2"/>
        <v>1.5480695216582583</v>
      </c>
      <c r="H14" s="76">
        <f t="shared" si="3"/>
        <v>8.4395179327013032</v>
      </c>
      <c r="I14" s="21">
        <f>VLOOKUP($B14,'Humanitarian Insight'!$B$2:$N$35,7,FALSE)</f>
        <v>912200</v>
      </c>
      <c r="J14" s="21">
        <f>VLOOKUP($B14,'Humanitarian Insight'!$B$2:$N$35,8,FALSE)</f>
        <v>208565</v>
      </c>
      <c r="K14" s="182">
        <f t="shared" si="4"/>
        <v>456.68917219483097</v>
      </c>
      <c r="L14" s="103">
        <f t="shared" si="5"/>
        <v>1.9190692302541739</v>
      </c>
      <c r="M14" s="76">
        <f t="shared" si="6"/>
        <v>8.7568022363516782</v>
      </c>
    </row>
    <row r="15" spans="1:13" ht="15.75" customHeight="1" x14ac:dyDescent="0.2">
      <c r="A15" t="s">
        <v>61</v>
      </c>
      <c r="B15" t="s">
        <v>62</v>
      </c>
      <c r="C15" s="77">
        <f t="shared" si="7"/>
        <v>7.6448069490238977</v>
      </c>
      <c r="D15" s="21">
        <f>VLOOKUP($B15,'Humanitarian Insight'!$B$2:$N$35,2,FALSE)</f>
        <v>3335002211</v>
      </c>
      <c r="E15" s="21">
        <f>VLOOKUP($B15,'Humanitarian Insight'!$B$2:$N$35,6,FALSE)</f>
        <v>1738832601</v>
      </c>
      <c r="F15" s="182">
        <f t="shared" si="1"/>
        <v>41699.311756910327</v>
      </c>
      <c r="G15" s="103">
        <f t="shared" si="2"/>
        <v>8.413510709766463</v>
      </c>
      <c r="H15" s="76">
        <f t="shared" si="3"/>
        <v>7.2930562995359889</v>
      </c>
      <c r="I15" s="21">
        <f>VLOOKUP($B15,'Humanitarian Insight'!$B$2:$N$35,7,FALSE)</f>
        <v>20000000</v>
      </c>
      <c r="J15" s="21">
        <f>VLOOKUP($B15,'Humanitarian Insight'!$B$2:$N$35,8,FALSE)</f>
        <v>20986669</v>
      </c>
      <c r="K15" s="182">
        <f t="shared" si="4"/>
        <v>4581.1209326975859</v>
      </c>
      <c r="L15" s="103">
        <f t="shared" si="5"/>
        <v>10.219328036793137</v>
      </c>
      <c r="M15" s="76">
        <f t="shared" si="6"/>
        <v>4.6533327500000006</v>
      </c>
    </row>
    <row r="16" spans="1:13" ht="15.75" customHeight="1" x14ac:dyDescent="0.2">
      <c r="A16" t="s">
        <v>102</v>
      </c>
      <c r="B16" t="s">
        <v>103</v>
      </c>
      <c r="C16" s="77">
        <f t="shared" si="7"/>
        <v>5.1742914535061653</v>
      </c>
      <c r="D16" s="21">
        <f>VLOOKUP($B16,'Humanitarian Insight'!$B$2:$N$35,2,FALSE)</f>
        <v>153531304</v>
      </c>
      <c r="E16" s="21">
        <f>VLOOKUP($B16,'Humanitarian Insight'!$B$2:$N$35,6,FALSE)</f>
        <v>57314025</v>
      </c>
      <c r="F16" s="182">
        <f t="shared" si="1"/>
        <v>7570.6026840668374</v>
      </c>
      <c r="G16" s="103">
        <f t="shared" si="2"/>
        <v>1.8905779302300227</v>
      </c>
      <c r="H16" s="76">
        <f t="shared" si="3"/>
        <v>8.0334742978539424</v>
      </c>
      <c r="I16" s="21">
        <f>VLOOKUP($B16,'Humanitarian Insight'!$B$2:$N$35,7,FALSE)</f>
        <v>1680000</v>
      </c>
      <c r="J16" s="21">
        <f>VLOOKUP($B16,'Humanitarian Insight'!$B$2:$N$35,8,FALSE)</f>
        <v>539125</v>
      </c>
      <c r="K16" s="182">
        <f t="shared" si="4"/>
        <v>734.25131937232504</v>
      </c>
      <c r="L16" s="103">
        <f t="shared" si="5"/>
        <v>2.4776522764168845</v>
      </c>
      <c r="M16" s="76">
        <f t="shared" si="6"/>
        <v>8.2954613095238106</v>
      </c>
    </row>
    <row r="17" spans="1:13" ht="15.75" customHeight="1" x14ac:dyDescent="0.2">
      <c r="A17" t="s">
        <v>71</v>
      </c>
      <c r="B17" t="s">
        <v>72</v>
      </c>
      <c r="C17" s="77">
        <f t="shared" si="7"/>
        <v>4.9116657713773657</v>
      </c>
      <c r="D17" s="21">
        <f>VLOOKUP($B17,'Humanitarian Insight'!$B$2:$N$35,2,FALSE)</f>
        <v>373165734</v>
      </c>
      <c r="E17" s="21">
        <f>VLOOKUP($B17,'Humanitarian Insight'!$B$2:$N$35,6,FALSE)</f>
        <v>192186339</v>
      </c>
      <c r="F17" s="182">
        <f t="shared" si="1"/>
        <v>13863.128759410698</v>
      </c>
      <c r="G17" s="103">
        <f t="shared" si="2"/>
        <v>3.0932523271824901</v>
      </c>
      <c r="H17" s="76">
        <f t="shared" si="3"/>
        <v>7.3249197944846678</v>
      </c>
      <c r="I17" s="21">
        <f>VLOOKUP($B17,'Humanitarian Insight'!$B$2:$N$35,7,FALSE)</f>
        <v>2500000</v>
      </c>
      <c r="J17" s="21">
        <f>VLOOKUP($B17,'Humanitarian Insight'!$B$2:$N$35,8,FALSE)</f>
        <v>2392000</v>
      </c>
      <c r="K17" s="182">
        <f t="shared" si="4"/>
        <v>1546.6091943344964</v>
      </c>
      <c r="L17" s="103">
        <f t="shared" si="5"/>
        <v>4.1124909638423048</v>
      </c>
      <c r="M17" s="76">
        <f t="shared" si="6"/>
        <v>5.1160000000000005</v>
      </c>
    </row>
    <row r="18" spans="1:13" ht="15.75" customHeight="1" x14ac:dyDescent="0.2">
      <c r="A18" t="s">
        <v>108</v>
      </c>
      <c r="B18" t="s">
        <v>109</v>
      </c>
      <c r="C18" s="77">
        <f t="shared" si="7"/>
        <v>4.989683934988018</v>
      </c>
      <c r="D18" s="21">
        <f>VLOOKUP($B18,'Humanitarian Insight'!$B$2:$N$35,2,FALSE)</f>
        <v>155296363</v>
      </c>
      <c r="E18" s="21">
        <f>VLOOKUP($B18,'Humanitarian Insight'!$B$2:$N$35,6,FALSE)</f>
        <v>66868714</v>
      </c>
      <c r="F18" s="182">
        <f t="shared" si="1"/>
        <v>8177.3292706115244</v>
      </c>
      <c r="G18" s="103">
        <f t="shared" si="2"/>
        <v>2.0065400292107229</v>
      </c>
      <c r="H18" s="76">
        <f t="shared" si="3"/>
        <v>7.7470611703894185</v>
      </c>
      <c r="I18" s="21">
        <f>VLOOKUP($B18,'Humanitarian Insight'!$B$2:$N$35,7,FALSE)</f>
        <v>1800000</v>
      </c>
      <c r="J18" s="21">
        <f>VLOOKUP($B18,'Humanitarian Insight'!$B$2:$N$35,8,FALSE)</f>
        <v>960000</v>
      </c>
      <c r="K18" s="182">
        <f t="shared" si="4"/>
        <v>979.79589711327128</v>
      </c>
      <c r="L18" s="103">
        <f t="shared" si="5"/>
        <v>2.971801207018598</v>
      </c>
      <c r="M18" s="76">
        <f t="shared" si="6"/>
        <v>7.2333333333333343</v>
      </c>
    </row>
    <row r="19" spans="1:13" ht="15.75" customHeight="1" x14ac:dyDescent="0.2">
      <c r="A19" t="s">
        <v>110</v>
      </c>
      <c r="B19" t="s">
        <v>111</v>
      </c>
      <c r="C19" s="77">
        <f t="shared" si="7"/>
        <v>3.7858040801400019</v>
      </c>
      <c r="D19" s="21">
        <f>VLOOKUP($B19,'Humanitarian Insight'!$B$2:$N$35,2,FALSE)</f>
        <v>400004347</v>
      </c>
      <c r="E19" s="21">
        <f>VLOOKUP($B19,'Humanitarian Insight'!$B$2:$N$35,6,FALSE)</f>
        <v>362762663</v>
      </c>
      <c r="F19" s="182">
        <f t="shared" si="1"/>
        <v>19046.329383899669</v>
      </c>
      <c r="G19" s="103">
        <f t="shared" si="2"/>
        <v>4.0839041911082639</v>
      </c>
      <c r="H19" s="76">
        <f t="shared" si="3"/>
        <v>5.3655159910049681</v>
      </c>
      <c r="I19" s="21">
        <f>VLOOKUP($B19,'Humanitarian Insight'!$B$2:$N$35,7,FALSE)</f>
        <v>991037</v>
      </c>
      <c r="J19" s="21">
        <f>VLOOKUP($B19,'Humanitarian Insight'!$B$2:$N$35,8,FALSE)</f>
        <v>1524397</v>
      </c>
      <c r="K19" s="182">
        <f t="shared" si="4"/>
        <v>1234.6647318199382</v>
      </c>
      <c r="L19" s="103">
        <f t="shared" si="5"/>
        <v>3.4847148427938364</v>
      </c>
      <c r="M19" s="76">
        <f t="shared" si="6"/>
        <v>2.209081295652938</v>
      </c>
    </row>
    <row r="20" spans="1:13" ht="15.75" customHeight="1" x14ac:dyDescent="0.2">
      <c r="A20" t="s">
        <v>86</v>
      </c>
      <c r="B20" t="s">
        <v>87</v>
      </c>
      <c r="C20" s="77">
        <f t="shared" ref="C20" si="8">AVERAGE(G20,H20,L20,M20)</f>
        <v>5.1888992859107788</v>
      </c>
      <c r="D20" s="21">
        <f>VLOOKUP($B20,'Humanitarian Insight'!$B$2:$N$35,2,FALSE)</f>
        <v>289641587</v>
      </c>
      <c r="E20" s="21">
        <f>VLOOKUP($B20,'Humanitarian Insight'!$B$2:$N$35,6,FALSE)</f>
        <v>174544973</v>
      </c>
      <c r="F20" s="182">
        <f t="shared" ref="F20" si="9">SQRT(E20)</f>
        <v>13211.546957112932</v>
      </c>
      <c r="G20" s="103">
        <f t="shared" ref="G20" si="10">(((F20-$F$2)/($F$3-$F$2))*9)+1</f>
        <v>2.9687171656653653</v>
      </c>
      <c r="H20" s="76">
        <f t="shared" ref="H20" si="11">9.9-((E20/D20)*5)</f>
        <v>6.8868799779777481</v>
      </c>
      <c r="I20" s="21">
        <f>VLOOKUP($B20,'Humanitarian Insight'!$B$2:$N$35,7,FALSE)</f>
        <v>2625232</v>
      </c>
      <c r="J20" s="21">
        <f>VLOOKUP($B20,'Humanitarian Insight'!$B$2:$N$35,8,FALSE)</f>
        <v>0</v>
      </c>
      <c r="K20" s="182">
        <f t="shared" ref="K20" si="12">SQRT(J20)</f>
        <v>0</v>
      </c>
      <c r="L20" s="103">
        <f t="shared" ref="L20" si="13">(((K20-$K$2)/($K$3-$K$2))*9)+1</f>
        <v>1</v>
      </c>
      <c r="M20" s="76">
        <f t="shared" ref="M20" si="14">9.9-((J20/I20)*5)</f>
        <v>9.9</v>
      </c>
    </row>
    <row r="21" spans="1:13" ht="15.75" customHeight="1" x14ac:dyDescent="0.2">
      <c r="A21" t="s">
        <v>112</v>
      </c>
      <c r="B21" t="s">
        <v>113</v>
      </c>
      <c r="C21" s="77">
        <f t="shared" si="7"/>
        <v>5.0919033476794109</v>
      </c>
      <c r="D21" s="21">
        <f>VLOOKUP($B21,'Humanitarian Insight'!$B$2:$N$35,2,FALSE)</f>
        <v>378175867</v>
      </c>
      <c r="E21" s="21">
        <f>VLOOKUP($B21,'Humanitarian Insight'!$B$2:$N$35,6,FALSE)</f>
        <v>328109888</v>
      </c>
      <c r="F21" s="182">
        <f t="shared" si="1"/>
        <v>18113.803797104571</v>
      </c>
      <c r="G21" s="103">
        <f t="shared" si="2"/>
        <v>3.9056729634084633</v>
      </c>
      <c r="H21" s="76">
        <f t="shared" si="3"/>
        <v>5.5619404273091817</v>
      </c>
      <c r="I21" s="21">
        <f>VLOOKUP($B21,'Humanitarian Insight'!$B$2:$N$35,7,FALSE)</f>
        <v>1000000</v>
      </c>
      <c r="J21" s="21">
        <f>VLOOKUP($B21,'Humanitarian Insight'!$B$2:$N$35,8,FALSE)</f>
        <v>0</v>
      </c>
      <c r="K21" s="182">
        <f t="shared" si="4"/>
        <v>0</v>
      </c>
      <c r="L21" s="103">
        <f t="shared" si="5"/>
        <v>1</v>
      </c>
      <c r="M21" s="76">
        <f t="shared" si="6"/>
        <v>9.9</v>
      </c>
    </row>
    <row r="22" spans="1:13" ht="15.75" customHeight="1" x14ac:dyDescent="0.2">
      <c r="A22" t="s">
        <v>84</v>
      </c>
      <c r="B22" t="s">
        <v>85</v>
      </c>
      <c r="C22" s="77">
        <f t="shared" si="7"/>
        <v>4.2912101250359829</v>
      </c>
      <c r="D22" s="21">
        <f>VLOOKUP($B22,'Humanitarian Insight'!$B$2:$N$35,2,FALSE)</f>
        <v>113799273</v>
      </c>
      <c r="E22" s="21">
        <f>VLOOKUP($B22,'Humanitarian Insight'!$B$2:$N$35,6,FALSE)</f>
        <v>93656887</v>
      </c>
      <c r="F22" s="182">
        <f t="shared" si="1"/>
        <v>9677.6488363651642</v>
      </c>
      <c r="G22" s="103">
        <f t="shared" si="2"/>
        <v>2.2932922662890798</v>
      </c>
      <c r="H22" s="76">
        <f t="shared" si="3"/>
        <v>5.7849962512502175</v>
      </c>
      <c r="I22" s="21">
        <f>VLOOKUP($B22,'Humanitarian Insight'!$B$2:$N$35,7,FALSE)</f>
        <v>398930</v>
      </c>
      <c r="J22" s="21">
        <f>VLOOKUP($B22,'Humanitarian Insight'!$B$2:$N$35,8,FALSE)</f>
        <v>220000</v>
      </c>
      <c r="K22" s="182">
        <f t="shared" si="4"/>
        <v>469.04157598234298</v>
      </c>
      <c r="L22" s="103">
        <f t="shared" si="5"/>
        <v>1.9439279633531363</v>
      </c>
      <c r="M22" s="76">
        <f t="shared" si="6"/>
        <v>7.1426240192514978</v>
      </c>
    </row>
    <row r="23" spans="1:13" ht="15.75" customHeight="1" x14ac:dyDescent="0.2">
      <c r="A23" t="s">
        <v>81</v>
      </c>
      <c r="B23" t="s">
        <v>83</v>
      </c>
      <c r="C23" s="77">
        <f t="shared" si="7"/>
        <v>4.8767778189122062</v>
      </c>
      <c r="D23" s="21">
        <f>VLOOKUP($B23,'Humanitarian Insight'!$B$2:$N$35,2,FALSE)</f>
        <v>219267779</v>
      </c>
      <c r="E23" s="21">
        <f>VLOOKUP($B23,'Humanitarian Insight'!$B$2:$N$35,6,FALSE)</f>
        <v>192417844</v>
      </c>
      <c r="F23" s="182">
        <f t="shared" si="1"/>
        <v>13871.475912821967</v>
      </c>
      <c r="G23" s="103">
        <f t="shared" si="2"/>
        <v>3.0948476972413452</v>
      </c>
      <c r="H23" s="76">
        <f t="shared" si="3"/>
        <v>5.5122635784074783</v>
      </c>
      <c r="I23" s="21">
        <f>VLOOKUP($B23,'Humanitarian Insight'!$B$2:$N$35,7,FALSE)</f>
        <v>1930000</v>
      </c>
      <c r="J23" s="21">
        <f>VLOOKUP($B23,'Humanitarian Insight'!$B$2:$N$35,8,FALSE)</f>
        <v>0</v>
      </c>
      <c r="K23" s="182">
        <f t="shared" si="4"/>
        <v>0</v>
      </c>
      <c r="L23" s="103">
        <f t="shared" si="5"/>
        <v>1</v>
      </c>
      <c r="M23" s="76">
        <f t="shared" si="6"/>
        <v>9.9</v>
      </c>
    </row>
    <row r="24" spans="1:13" ht="15.75" customHeight="1" x14ac:dyDescent="0.2">
      <c r="A24" t="s">
        <v>106</v>
      </c>
      <c r="B24" t="s">
        <v>107</v>
      </c>
      <c r="C24" s="77">
        <f t="shared" si="7"/>
        <v>4.6384998796549697</v>
      </c>
      <c r="D24" s="21">
        <f>VLOOKUP($B24,'Humanitarian Insight'!$B$2:$N$35,2,FALSE)</f>
        <v>29450000</v>
      </c>
      <c r="E24" s="21">
        <f>VLOOKUP($B24,'Humanitarian Insight'!$B$2:$N$35,6,FALSE)</f>
        <v>21000802</v>
      </c>
      <c r="F24" s="182">
        <f t="shared" ref="F24" si="15">SQRT(E24)</f>
        <v>4582.6631994943727</v>
      </c>
      <c r="G24" s="103">
        <f t="shared" ref="G24" si="16">(((F24-$F$2)/($F$3-$F$2))*9)+1</f>
        <v>1.319500707074887</v>
      </c>
      <c r="H24" s="76">
        <f t="shared" ref="H24" si="17">9.9-((E24/D24)*5)</f>
        <v>6.3344988115449912</v>
      </c>
      <c r="I24" s="21">
        <f>VLOOKUP($B24,'Humanitarian Insight'!$B$2:$N$35,7,FALSE)</f>
        <v>542398</v>
      </c>
      <c r="J24" s="21">
        <f>VLOOKUP($B24,'Humanitarian Insight'!$B$2:$N$35,8,FALSE)</f>
        <v>0</v>
      </c>
      <c r="K24" s="182">
        <f t="shared" ref="K24" si="18">SQRT(J24)</f>
        <v>0</v>
      </c>
      <c r="L24" s="103">
        <f t="shared" ref="L24" si="19">(((K24-$K$2)/($K$3-$K$2))*9)+1</f>
        <v>1</v>
      </c>
      <c r="M24" s="76">
        <f t="shared" ref="M24" si="20">9.9-((J24/I24)*5)</f>
        <v>9.9</v>
      </c>
    </row>
    <row r="25" spans="1:13" ht="15.75" customHeight="1" x14ac:dyDescent="0.2">
      <c r="A25" t="s">
        <v>65</v>
      </c>
      <c r="B25" t="s">
        <v>66</v>
      </c>
      <c r="C25" s="77">
        <f t="shared" ref="C25:C38" si="21">AVERAGE(G25,H25,L25,M25)</f>
        <v>5.4360408459910996</v>
      </c>
      <c r="D25" s="21">
        <f>VLOOKUP($B25,'Humanitarian Insight'!$B$2:$N$35,2,FALSE)</f>
        <v>685734819</v>
      </c>
      <c r="E25" s="21">
        <f>VLOOKUP($B25,'Humanitarian Insight'!$B$2:$N$35,6,FALSE)</f>
        <v>299356391</v>
      </c>
      <c r="F25" s="182">
        <f t="shared" si="1"/>
        <v>17301.918708628822</v>
      </c>
      <c r="G25" s="103">
        <f t="shared" si="2"/>
        <v>3.7504994452559917</v>
      </c>
      <c r="H25" s="76">
        <f t="shared" si="3"/>
        <v>7.7172583431263684</v>
      </c>
      <c r="I25" s="21">
        <f>VLOOKUP($B25,'Humanitarian Insight'!$B$2:$N$35,7,FALSE)</f>
        <v>5264731</v>
      </c>
      <c r="J25" s="21">
        <f>VLOOKUP($B25,'Humanitarian Insight'!$B$2:$N$35,8,FALSE)</f>
        <v>5728174</v>
      </c>
      <c r="K25" s="182">
        <f t="shared" si="4"/>
        <v>2393.360399104155</v>
      </c>
      <c r="L25" s="103">
        <f t="shared" si="5"/>
        <v>5.8165448923476255</v>
      </c>
      <c r="M25" s="76">
        <f t="shared" si="6"/>
        <v>4.4598607032344111</v>
      </c>
    </row>
    <row r="26" spans="1:13" ht="15.75" customHeight="1" x14ac:dyDescent="0.2">
      <c r="A26" t="s">
        <v>100</v>
      </c>
      <c r="B26" t="s">
        <v>101</v>
      </c>
      <c r="C26" s="77">
        <f t="shared" si="21"/>
        <v>4.4034015683142353</v>
      </c>
      <c r="D26" s="21">
        <f>VLOOKUP($B26,'Humanitarian Insight'!$B$2:$N$35,2,FALSE)</f>
        <v>388499803</v>
      </c>
      <c r="E26" s="21">
        <f>VLOOKUP($B26,'Humanitarian Insight'!$B$2:$N$35,6,FALSE)</f>
        <v>278167772</v>
      </c>
      <c r="F26" s="182">
        <f t="shared" si="1"/>
        <v>16678.362389635262</v>
      </c>
      <c r="G26" s="103">
        <f t="shared" si="2"/>
        <v>3.6313207226043738</v>
      </c>
      <c r="H26" s="76">
        <f t="shared" si="3"/>
        <v>6.3199753789836546</v>
      </c>
      <c r="I26" s="21">
        <f>VLOOKUP($B26,'Humanitarian Insight'!$B$2:$N$35,7,FALSE)</f>
        <v>1200000</v>
      </c>
      <c r="J26" s="21">
        <f>VLOOKUP($B26,'Humanitarian Insight'!$B$2:$N$35,8,FALSE)</f>
        <v>1335131</v>
      </c>
      <c r="K26" s="182">
        <f t="shared" si="4"/>
        <v>1155.4786886827467</v>
      </c>
      <c r="L26" s="103">
        <f t="shared" si="5"/>
        <v>3.3253560050022446</v>
      </c>
      <c r="M26" s="76">
        <f t="shared" si="6"/>
        <v>4.3369541666666667</v>
      </c>
    </row>
    <row r="27" spans="1:13" ht="15.75" customHeight="1" x14ac:dyDescent="0.2">
      <c r="A27" t="s">
        <v>69</v>
      </c>
      <c r="B27" t="s">
        <v>70</v>
      </c>
      <c r="C27" s="77">
        <f t="shared" si="21"/>
        <v>5.8339158116526741</v>
      </c>
      <c r="D27" s="21">
        <f>VLOOKUP($B27,'Humanitarian Insight'!$B$2:$N$35,2,FALSE)</f>
        <v>825698032</v>
      </c>
      <c r="E27" s="21">
        <f>VLOOKUP($B27,'Humanitarian Insight'!$B$2:$N$35,6,FALSE)</f>
        <v>379011257</v>
      </c>
      <c r="F27" s="182">
        <f t="shared" si="1"/>
        <v>19468.211448409944</v>
      </c>
      <c r="G27" s="103">
        <f t="shared" si="2"/>
        <v>4.1645374298814897</v>
      </c>
      <c r="H27" s="76">
        <f t="shared" si="3"/>
        <v>7.6049039581579141</v>
      </c>
      <c r="I27" s="21">
        <f>VLOOKUP($B27,'Humanitarian Insight'!$B$2:$N$35,7,FALSE)</f>
        <v>6187244</v>
      </c>
      <c r="J27" s="21">
        <f>VLOOKUP($B27,'Humanitarian Insight'!$B$2:$N$35,8,FALSE)</f>
        <v>4398324</v>
      </c>
      <c r="K27" s="182">
        <f t="shared" si="4"/>
        <v>2097.218157464788</v>
      </c>
      <c r="L27" s="103">
        <f t="shared" si="5"/>
        <v>5.2205701273643115</v>
      </c>
      <c r="M27" s="76">
        <f t="shared" si="6"/>
        <v>6.3456517312069805</v>
      </c>
    </row>
    <row r="28" spans="1:13" ht="15.75" customHeight="1" x14ac:dyDescent="0.2">
      <c r="A28" t="s">
        <v>90</v>
      </c>
      <c r="B28" t="s">
        <v>91</v>
      </c>
      <c r="C28" s="77">
        <f t="shared" si="21"/>
        <v>4.613377924464638</v>
      </c>
      <c r="D28" s="21">
        <f>VLOOKUP($B28,'Humanitarian Insight'!$B$2:$N$35,2,FALSE)</f>
        <v>552598446</v>
      </c>
      <c r="E28" s="21">
        <f>VLOOKUP($B28,'Humanitarian Insight'!$B$2:$N$35,6,FALSE)</f>
        <v>381878211</v>
      </c>
      <c r="F28" s="182">
        <f t="shared" si="1"/>
        <v>19541.704403659369</v>
      </c>
      <c r="G28" s="103">
        <f t="shared" si="2"/>
        <v>4.1785839502417623</v>
      </c>
      <c r="H28" s="76">
        <f t="shared" si="3"/>
        <v>6.4447042625233877</v>
      </c>
      <c r="I28" s="21">
        <f>VLOOKUP($B28,'Humanitarian Insight'!$B$2:$N$35,7,FALSE)</f>
        <v>2390726</v>
      </c>
      <c r="J28" s="21">
        <f>VLOOKUP($B28,'Humanitarian Insight'!$B$2:$N$35,8,FALSE)</f>
        <v>3185113</v>
      </c>
      <c r="K28" s="182">
        <f t="shared" si="4"/>
        <v>1784.6884882242055</v>
      </c>
      <c r="L28" s="103">
        <f t="shared" si="5"/>
        <v>4.5916163004975905</v>
      </c>
      <c r="M28" s="76">
        <f t="shared" si="6"/>
        <v>3.2386071845958089</v>
      </c>
    </row>
    <row r="29" spans="1:13" ht="15.75" customHeight="1" x14ac:dyDescent="0.2">
      <c r="A29" t="s">
        <v>79</v>
      </c>
      <c r="B29" t="s">
        <v>80</v>
      </c>
      <c r="C29" s="77">
        <f>AVERAGE(G29,H29,L29,M29)</f>
        <v>5.8211714885424684</v>
      </c>
      <c r="D29" s="21">
        <f>VLOOKUP($B29,'Humanitarian Insight'!$B$2:$N$35,2,FALSE)</f>
        <v>1127211641</v>
      </c>
      <c r="E29" s="21">
        <f>VLOOKUP($B29,'Humanitarian Insight'!$B$2:$N$35,6,FALSE)</f>
        <v>756266673</v>
      </c>
      <c r="F29" s="182">
        <f>SQRT(E29)</f>
        <v>27500.303143783705</v>
      </c>
      <c r="G29" s="103">
        <f>(((F29-$F$2)/($F$3-$F$2))*9)+1</f>
        <v>5.6996905496836492</v>
      </c>
      <c r="H29" s="76">
        <f>9.9-((E29/D29)*5)</f>
        <v>6.5454095863972723</v>
      </c>
      <c r="I29" s="21">
        <f>VLOOKUP($B29,'Humanitarian Insight'!$B$2:$N$35,7,FALSE)</f>
        <v>5580089</v>
      </c>
      <c r="J29" s="21">
        <f>VLOOKUP($B29,'Humanitarian Insight'!$B$2:$N$35,8,FALSE)</f>
        <v>4727564</v>
      </c>
      <c r="K29" s="182">
        <f>SQRT(J29)</f>
        <v>2174.2962079716735</v>
      </c>
      <c r="L29" s="103">
        <f>(((K29-$K$2)/($K$3-$K$2))*9)+1</f>
        <v>5.3756867118202143</v>
      </c>
      <c r="M29" s="76">
        <f>9.9-((J29/I29)*5)</f>
        <v>5.6638991062687349</v>
      </c>
    </row>
    <row r="30" spans="1:13" ht="15.75" customHeight="1" x14ac:dyDescent="0.2">
      <c r="A30" t="s">
        <v>73</v>
      </c>
      <c r="B30" t="s">
        <v>74</v>
      </c>
      <c r="C30" s="183">
        <v>5</v>
      </c>
      <c r="D30" s="293" t="e">
        <f>VLOOKUP($B30,'Humanitarian Insight'!$B$2:$N$35,2,FALSE)</f>
        <v>#N/A</v>
      </c>
      <c r="E30" s="293" t="e">
        <f>VLOOKUP($B30,'Humanitarian Insight'!$B$2:$N$35,6,FALSE)</f>
        <v>#N/A</v>
      </c>
      <c r="F30" s="182" t="e">
        <f t="shared" ref="F30" si="22">SQRT(E30)</f>
        <v>#N/A</v>
      </c>
      <c r="G30" s="103" t="e">
        <f t="shared" ref="G30" si="23">(((F30-$F$2)/($F$3-$F$2))*9)+1</f>
        <v>#N/A</v>
      </c>
      <c r="H30" s="326">
        <v>5</v>
      </c>
      <c r="I30" s="293">
        <v>0</v>
      </c>
      <c r="J30" s="293">
        <v>0</v>
      </c>
      <c r="K30" s="182">
        <f t="shared" ref="K30" si="24">SQRT(J30)</f>
        <v>0</v>
      </c>
      <c r="L30" s="103">
        <f t="shared" ref="L30" si="25">(((K30-$K$2)/($K$3-$K$2))*9)+1</f>
        <v>1</v>
      </c>
      <c r="M30" s="326">
        <v>5</v>
      </c>
    </row>
    <row r="31" spans="1:13" ht="15.75" customHeight="1" x14ac:dyDescent="0.2">
      <c r="A31" t="s">
        <v>77</v>
      </c>
      <c r="B31" t="s">
        <v>78</v>
      </c>
      <c r="C31" s="77">
        <f t="shared" si="21"/>
        <v>5.1891841216246171</v>
      </c>
      <c r="D31" s="21">
        <f>VLOOKUP($B31,'Humanitarian Insight'!$B$2:$N$35,2,FALSE)</f>
        <v>509872202</v>
      </c>
      <c r="E31" s="21">
        <f>VLOOKUP($B31,'Humanitarian Insight'!$B$2:$N$35,6,FALSE)</f>
        <v>473964341</v>
      </c>
      <c r="F31" s="182">
        <f t="shared" si="1"/>
        <v>21770.722105616984</v>
      </c>
      <c r="G31" s="103">
        <f t="shared" si="2"/>
        <v>4.6046103962826326</v>
      </c>
      <c r="H31" s="76">
        <f t="shared" si="3"/>
        <v>5.252126090215838</v>
      </c>
      <c r="I31" s="21">
        <f>VLOOKUP($B31,'Humanitarian Insight'!$B$2:$N$35,7,FALSE)</f>
        <v>1600000</v>
      </c>
      <c r="J31" s="21">
        <f>VLOOKUP($B31,'Humanitarian Insight'!$B$2:$N$35,8,FALSE)</f>
        <v>0</v>
      </c>
      <c r="K31" s="182">
        <f t="shared" si="4"/>
        <v>0</v>
      </c>
      <c r="L31" s="103">
        <f t="shared" si="5"/>
        <v>1</v>
      </c>
      <c r="M31" s="76">
        <f t="shared" si="6"/>
        <v>9.9</v>
      </c>
    </row>
    <row r="32" spans="1:13" ht="15.75" customHeight="1" x14ac:dyDescent="0.2">
      <c r="A32" t="s">
        <v>57</v>
      </c>
      <c r="B32" t="s">
        <v>58</v>
      </c>
      <c r="C32" s="77">
        <f t="shared" si="21"/>
        <v>6.5056328423053227</v>
      </c>
      <c r="D32" s="21">
        <f>VLOOKUP($B32,'Humanitarian Insight'!$B$2:$N$35,2,FALSE)</f>
        <v>2267407090</v>
      </c>
      <c r="E32" s="21">
        <f>VLOOKUP($B32,'Humanitarian Insight'!$B$2:$N$35,6,FALSE)</f>
        <v>2086007359</v>
      </c>
      <c r="F32" s="182">
        <f t="shared" si="1"/>
        <v>45672.829548868547</v>
      </c>
      <c r="G32" s="103">
        <f t="shared" si="2"/>
        <v>9.1729589912679579</v>
      </c>
      <c r="H32" s="76">
        <f t="shared" si="3"/>
        <v>5.3000157973396833</v>
      </c>
      <c r="I32" s="21">
        <f>VLOOKUP($B32,'Humanitarian Insight'!$B$2:$N$35,7,FALSE)</f>
        <v>7613133</v>
      </c>
      <c r="J32" s="21">
        <f>VLOOKUP($B32,'Humanitarian Insight'!$B$2:$N$35,8,FALSE)</f>
        <v>7277001</v>
      </c>
      <c r="K32" s="182">
        <f t="shared" si="4"/>
        <v>2697.5917037238974</v>
      </c>
      <c r="L32" s="103">
        <f t="shared" si="5"/>
        <v>6.4287985825594962</v>
      </c>
      <c r="M32" s="76">
        <f t="shared" si="6"/>
        <v>5.1207579980541524</v>
      </c>
    </row>
    <row r="33" spans="1:14" ht="15.75" customHeight="1" x14ac:dyDescent="0.2">
      <c r="A33" t="s">
        <v>59</v>
      </c>
      <c r="B33" t="s">
        <v>60</v>
      </c>
      <c r="C33" s="77">
        <f t="shared" si="21"/>
        <v>6.2909147442405056</v>
      </c>
      <c r="D33" s="21">
        <f>VLOOKUP($B33,'Humanitarian Insight'!$B$2:$N$35,2,FALSE)</f>
        <v>1699588587</v>
      </c>
      <c r="E33" s="21">
        <f>VLOOKUP($B33,'Humanitarian Insight'!$B$2:$N$35,6,FALSE)</f>
        <v>1230250614</v>
      </c>
      <c r="F33" s="182">
        <f t="shared" si="1"/>
        <v>35074.928567282928</v>
      </c>
      <c r="G33" s="103">
        <f t="shared" si="2"/>
        <v>7.1474093122713658</v>
      </c>
      <c r="H33" s="76">
        <f t="shared" si="3"/>
        <v>6.2807399525682985</v>
      </c>
      <c r="I33" s="21">
        <f>VLOOKUP($B33,'Humanitarian Insight'!$B$2:$N$35,7,FALSE)</f>
        <v>6776284</v>
      </c>
      <c r="J33" s="21">
        <f>VLOOKUP($B33,'Humanitarian Insight'!$B$2:$N$35,8,FALSE)</f>
        <v>4913089</v>
      </c>
      <c r="K33" s="182">
        <f t="shared" si="4"/>
        <v>2216.5488941144517</v>
      </c>
      <c r="L33" s="103">
        <f t="shared" si="5"/>
        <v>5.4607186024227072</v>
      </c>
      <c r="M33" s="76">
        <f t="shared" si="6"/>
        <v>6.2747911096996525</v>
      </c>
    </row>
    <row r="34" spans="1:14" ht="15.75" customHeight="1" x14ac:dyDescent="0.2">
      <c r="A34" t="s">
        <v>53</v>
      </c>
      <c r="B34" t="s">
        <v>54</v>
      </c>
      <c r="C34" s="77">
        <f t="shared" si="21"/>
        <v>6.648975931278601</v>
      </c>
      <c r="D34" s="21">
        <f>VLOOKUP($B34,'Humanitarian Insight'!$B$2:$N$35,2,FALSE)</f>
        <v>1936697740</v>
      </c>
      <c r="E34" s="21">
        <f>VLOOKUP($B34,'Humanitarian Insight'!$B$2:$N$35,6,FALSE)</f>
        <v>1118707091</v>
      </c>
      <c r="F34" s="182">
        <f t="shared" si="1"/>
        <v>33447.078960650659</v>
      </c>
      <c r="G34" s="103">
        <f t="shared" si="2"/>
        <v>6.8362825850167965</v>
      </c>
      <c r="H34" s="76">
        <f t="shared" si="3"/>
        <v>7.0118180501413709</v>
      </c>
      <c r="I34" s="21">
        <f>VLOOKUP($B34,'Humanitarian Insight'!$B$2:$N$35,7,FALSE)</f>
        <v>10933315</v>
      </c>
      <c r="J34" s="21">
        <f>VLOOKUP($B34,'Humanitarian Insight'!$B$2:$N$35,8,FALSE)</f>
        <v>9579821</v>
      </c>
      <c r="K34" s="182">
        <f t="shared" si="4"/>
        <v>3095.1285918358867</v>
      </c>
      <c r="L34" s="103">
        <f t="shared" si="5"/>
        <v>7.2288261374034182</v>
      </c>
      <c r="M34" s="76">
        <f t="shared" si="6"/>
        <v>5.5189769525528174</v>
      </c>
    </row>
    <row r="35" spans="1:14" ht="15.75" customHeight="1" x14ac:dyDescent="0.2">
      <c r="A35" t="s">
        <v>55</v>
      </c>
      <c r="B35" t="s">
        <v>56</v>
      </c>
      <c r="C35" s="77">
        <f t="shared" si="21"/>
        <v>7.5434172671766184</v>
      </c>
      <c r="D35" s="21">
        <f>VLOOKUP($B35,'Humanitarian Insight'!$B$2:$N$35,2,FALSE)</f>
        <v>4444280227</v>
      </c>
      <c r="E35" s="21">
        <f>VLOOKUP($B35,'Humanitarian Insight'!$B$2:$N$35,6,FALSE)</f>
        <v>2328757720</v>
      </c>
      <c r="F35" s="182">
        <f t="shared" si="1"/>
        <v>48257.203814560162</v>
      </c>
      <c r="G35" s="103">
        <f t="shared" si="2"/>
        <v>9.6669038274552754</v>
      </c>
      <c r="H35" s="76">
        <f t="shared" si="3"/>
        <v>7.2800507606920535</v>
      </c>
      <c r="I35" s="21">
        <f>VLOOKUP($B35,'Humanitarian Insight'!$B$2:$N$35,7,FALSE)</f>
        <v>11840486</v>
      </c>
      <c r="J35" s="21">
        <f>VLOOKUP($B35,'Humanitarian Insight'!$B$2:$N$35,8,FALSE)</f>
        <v>7800000</v>
      </c>
      <c r="K35" s="182">
        <f t="shared" si="4"/>
        <v>2792.8480087537882</v>
      </c>
      <c r="L35" s="103">
        <f t="shared" si="5"/>
        <v>6.6204981985585585</v>
      </c>
      <c r="M35" s="76">
        <f t="shared" si="6"/>
        <v>6.6062162820005872</v>
      </c>
    </row>
    <row r="36" spans="1:14" ht="15.75" customHeight="1" x14ac:dyDescent="0.2">
      <c r="A36" t="s">
        <v>94</v>
      </c>
      <c r="B36" t="s">
        <v>95</v>
      </c>
      <c r="C36" s="183">
        <f>AVERAGE(H36,L36,M36)</f>
        <v>3.6666666666666665</v>
      </c>
      <c r="D36" s="21">
        <f>VLOOKUP($B36,'Humanitarian Insight'!$B$2:$N$35,2,FALSE)</f>
        <v>0</v>
      </c>
      <c r="E36" s="21">
        <f>VLOOKUP($B36,'Humanitarian Insight'!$B$2:$N$35,6,FALSE)</f>
        <v>8476145</v>
      </c>
      <c r="F36" s="182">
        <f t="shared" si="1"/>
        <v>2911.3819742520905</v>
      </c>
      <c r="G36" s="103">
        <f t="shared" si="2"/>
        <v>1.0000730057607683</v>
      </c>
      <c r="H36" s="326">
        <v>5</v>
      </c>
      <c r="I36" s="21">
        <f>VLOOKUP($B36,'Humanitarian Insight'!$B$2:$N$35,7,FALSE)</f>
        <v>0</v>
      </c>
      <c r="J36" s="21">
        <f>VLOOKUP($B36,'Humanitarian Insight'!$B$2:$N$35,8,FALSE)</f>
        <v>0</v>
      </c>
      <c r="K36" s="182">
        <f t="shared" si="4"/>
        <v>0</v>
      </c>
      <c r="L36" s="103">
        <f t="shared" si="5"/>
        <v>1</v>
      </c>
      <c r="M36" s="326">
        <v>5</v>
      </c>
    </row>
    <row r="37" spans="1:14" s="17" customFormat="1" ht="15.75" customHeight="1" x14ac:dyDescent="0.2">
      <c r="A37" s="17" t="s">
        <v>96</v>
      </c>
      <c r="B37" s="17" t="s">
        <v>97</v>
      </c>
      <c r="C37" s="77">
        <f t="shared" si="21"/>
        <v>5.8423280301390585</v>
      </c>
      <c r="D37" s="21">
        <f>VLOOKUP($B37,'Humanitarian Insight'!$B$2:$N$35,2,FALSE)</f>
        <v>794987748</v>
      </c>
      <c r="E37" s="21">
        <f>VLOOKUP($B37,'Humanitarian Insight'!$B$2:$N$35,6,FALSE)</f>
        <v>284136460</v>
      </c>
      <c r="F37" s="182">
        <f t="shared" si="1"/>
        <v>16856.347765752816</v>
      </c>
      <c r="G37" s="103">
        <f t="shared" si="2"/>
        <v>3.6653386118153994</v>
      </c>
      <c r="H37" s="76">
        <f t="shared" si="3"/>
        <v>8.1129506982037167</v>
      </c>
      <c r="I37" s="38">
        <f>VLOOKUP($B37,'Humanitarian Insight'!$B$2:$N$35,7,FALSE)</f>
        <v>5217883</v>
      </c>
      <c r="J37" s="38">
        <f>VLOOKUP($B37,'Humanitarian Insight'!$B$2:$N$35,8,FALSE)</f>
        <v>2781423</v>
      </c>
      <c r="K37" s="182">
        <f t="shared" si="4"/>
        <v>1667.7598748021251</v>
      </c>
      <c r="L37" s="103">
        <f t="shared" si="5"/>
        <v>4.3563020051836805</v>
      </c>
      <c r="M37" s="76">
        <f t="shared" si="6"/>
        <v>7.2347208053534366</v>
      </c>
    </row>
    <row r="38" spans="1:14" s="17" customFormat="1" ht="15.75" customHeight="1" x14ac:dyDescent="0.2">
      <c r="A38" s="17" t="s">
        <v>51</v>
      </c>
      <c r="B38" s="17" t="s">
        <v>52</v>
      </c>
      <c r="C38" s="77">
        <f t="shared" si="21"/>
        <v>7.8267628436668835</v>
      </c>
      <c r="D38" s="21">
        <f>VLOOKUP($B38,'Humanitarian Insight'!$B$2:$N$35,2,FALSE)</f>
        <v>4271938417</v>
      </c>
      <c r="E38" s="21">
        <f>VLOOKUP($B38,'Humanitarian Insight'!$B$2:$N$35,6,FALSE)</f>
        <v>2261360782</v>
      </c>
      <c r="F38" s="182">
        <f t="shared" si="1"/>
        <v>47553.767274528313</v>
      </c>
      <c r="G38" s="103">
        <f t="shared" si="2"/>
        <v>9.532457802687567</v>
      </c>
      <c r="H38" s="76">
        <f t="shared" si="3"/>
        <v>7.2532380839093928</v>
      </c>
      <c r="I38" s="38">
        <f>VLOOKUP($B38,'Humanitarian Insight'!$B$2:$N$35,7,FALSE)</f>
        <v>17883668</v>
      </c>
      <c r="J38" s="38">
        <f>VLOOKUP($B38,'Humanitarian Insight'!$B$2:$N$35,8,FALSE)</f>
        <v>12826068</v>
      </c>
      <c r="K38" s="182">
        <f t="shared" si="4"/>
        <v>3581.350024781158</v>
      </c>
      <c r="L38" s="103">
        <f t="shared" si="5"/>
        <v>8.2073278959681026</v>
      </c>
      <c r="M38" s="76">
        <f t="shared" si="6"/>
        <v>6.3140275921024704</v>
      </c>
    </row>
    <row r="39" spans="1:14" s="17" customFormat="1" ht="15.75" customHeight="1" x14ac:dyDescent="0.2">
      <c r="D39" s="27"/>
      <c r="E39" s="27"/>
      <c r="F39" s="27"/>
      <c r="G39" s="27"/>
      <c r="H39" s="27"/>
      <c r="I39" s="27"/>
      <c r="J39" s="27"/>
      <c r="K39" s="27"/>
      <c r="L39" s="27"/>
      <c r="M39" s="27"/>
      <c r="N39" s="27"/>
    </row>
    <row r="40" spans="1:14" s="17" customFormat="1" ht="16" x14ac:dyDescent="0.2">
      <c r="D40" s="261"/>
      <c r="E40" s="261"/>
      <c r="F40" s="27"/>
      <c r="G40" s="27"/>
      <c r="H40" s="28"/>
      <c r="I40" s="27"/>
      <c r="J40" s="27"/>
      <c r="K40" s="27"/>
      <c r="L40" s="27"/>
      <c r="M40" s="184"/>
    </row>
    <row r="41" spans="1:14" ht="15.75" customHeight="1" x14ac:dyDescent="0.2">
      <c r="A41" s="17"/>
      <c r="D41" s="180"/>
    </row>
    <row r="42" spans="1:14" ht="15.75" customHeight="1" x14ac:dyDescent="0.2">
      <c r="D42" s="180"/>
    </row>
    <row r="43" spans="1:14" ht="15.75" customHeight="1" x14ac:dyDescent="0.2">
      <c r="D43" s="180"/>
    </row>
    <row r="44" spans="1:14" ht="15.75" customHeight="1" x14ac:dyDescent="0.2">
      <c r="D44" s="180"/>
    </row>
    <row r="45" spans="1:14" ht="15.75" customHeight="1" x14ac:dyDescent="0.2">
      <c r="D45" s="180"/>
    </row>
    <row r="46" spans="1:14" ht="15.75" customHeight="1" x14ac:dyDescent="0.2">
      <c r="D46" s="180"/>
    </row>
    <row r="47" spans="1:14" ht="15.75" customHeight="1" x14ac:dyDescent="0.2">
      <c r="D47" s="180"/>
    </row>
    <row r="48" spans="1:14" ht="15.75" customHeight="1" x14ac:dyDescent="0.2">
      <c r="D48" s="180"/>
    </row>
    <row r="49" spans="4:4" ht="15.75" customHeight="1" x14ac:dyDescent="0.2">
      <c r="D49" s="180"/>
    </row>
    <row r="50" spans="4:4" ht="15.75" customHeight="1" x14ac:dyDescent="0.2">
      <c r="D50" s="180"/>
    </row>
    <row r="51" spans="4:4" ht="15.75" customHeight="1" x14ac:dyDescent="0.2">
      <c r="D51" s="180"/>
    </row>
    <row r="52" spans="4:4" ht="15.75" customHeight="1" x14ac:dyDescent="0.2">
      <c r="D52" s="180"/>
    </row>
    <row r="53" spans="4:4" ht="15.75" customHeight="1" x14ac:dyDescent="0.2">
      <c r="D53" s="180"/>
    </row>
    <row r="54" spans="4:4" ht="15.75" customHeight="1" x14ac:dyDescent="0.2">
      <c r="D54" s="180"/>
    </row>
    <row r="55" spans="4:4" ht="15.75" customHeight="1" x14ac:dyDescent="0.2">
      <c r="D55" s="180"/>
    </row>
    <row r="56" spans="4:4" ht="15.75" customHeight="1" x14ac:dyDescent="0.2">
      <c r="D56" s="180"/>
    </row>
    <row r="57" spans="4:4" ht="15.75" customHeight="1" x14ac:dyDescent="0.2">
      <c r="D57" s="180"/>
    </row>
    <row r="58" spans="4:4" ht="15.75" customHeight="1" x14ac:dyDescent="0.2">
      <c r="D58" s="180"/>
    </row>
    <row r="59" spans="4:4" ht="15.75" customHeight="1" x14ac:dyDescent="0.2">
      <c r="D59" s="180"/>
    </row>
    <row r="60" spans="4:4" ht="15.75" customHeight="1" x14ac:dyDescent="0.2">
      <c r="D60" s="180"/>
    </row>
    <row r="61" spans="4:4" ht="15.75" customHeight="1" x14ac:dyDescent="0.2">
      <c r="D61" s="180"/>
    </row>
    <row r="62" spans="4:4" ht="15.75" customHeight="1" x14ac:dyDescent="0.2">
      <c r="D62" s="180"/>
    </row>
    <row r="63" spans="4:4" ht="15.75" customHeight="1" x14ac:dyDescent="0.2">
      <c r="D63" s="180"/>
    </row>
    <row r="64" spans="4:4" ht="15.75" customHeight="1" x14ac:dyDescent="0.2">
      <c r="D64" s="180"/>
    </row>
    <row r="65" spans="4:4" ht="15.75" customHeight="1" x14ac:dyDescent="0.2">
      <c r="D65" s="180"/>
    </row>
    <row r="66" spans="4:4" ht="15.75" customHeight="1" x14ac:dyDescent="0.2">
      <c r="D66" s="180"/>
    </row>
    <row r="67" spans="4:4" ht="15.75" customHeight="1" x14ac:dyDescent="0.2">
      <c r="D67" s="180"/>
    </row>
    <row r="68" spans="4:4" ht="15.75" customHeight="1" x14ac:dyDescent="0.2">
      <c r="D68" s="180"/>
    </row>
    <row r="69" spans="4:4" ht="15.75" customHeight="1" x14ac:dyDescent="0.2">
      <c r="D69" s="180"/>
    </row>
    <row r="70" spans="4:4" ht="15.75" customHeight="1" x14ac:dyDescent="0.2">
      <c r="D70" s="180"/>
    </row>
    <row r="71" spans="4:4" ht="15.75" customHeight="1" x14ac:dyDescent="0.2">
      <c r="D71" s="180"/>
    </row>
    <row r="72" spans="4:4" ht="15.75" customHeight="1" x14ac:dyDescent="0.2">
      <c r="D72" s="180"/>
    </row>
    <row r="73" spans="4:4" ht="15.75" customHeight="1" x14ac:dyDescent="0.2">
      <c r="D73" s="180"/>
    </row>
    <row r="74" spans="4:4" ht="15.75" customHeight="1" x14ac:dyDescent="0.2">
      <c r="D74" s="180"/>
    </row>
    <row r="75" spans="4:4" ht="15.75" customHeight="1" x14ac:dyDescent="0.2">
      <c r="D75" s="180"/>
    </row>
    <row r="76" spans="4:4" ht="15.75" customHeight="1" x14ac:dyDescent="0.2">
      <c r="D76" s="180"/>
    </row>
    <row r="77" spans="4:4" ht="15.75" customHeight="1" x14ac:dyDescent="0.2">
      <c r="D77" s="180"/>
    </row>
    <row r="78" spans="4:4" ht="15.75" customHeight="1" x14ac:dyDescent="0.2">
      <c r="D78" s="180"/>
    </row>
    <row r="79" spans="4:4" ht="15.75" customHeight="1" x14ac:dyDescent="0.2">
      <c r="D79" s="180"/>
    </row>
    <row r="80" spans="4:4" ht="15.75" customHeight="1" x14ac:dyDescent="0.2">
      <c r="D80" s="180"/>
    </row>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sheet="1" objects="1" scenarios="1"/>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7D01-051D-47CA-B2F1-421FC03CDFAB}">
  <sheetPr>
    <tabColor rgb="FFD9E1F2"/>
  </sheetPr>
  <dimension ref="A2:AB43"/>
  <sheetViews>
    <sheetView showGridLines="0" workbookViewId="0">
      <selection activeCell="D47" sqref="D47"/>
    </sheetView>
  </sheetViews>
  <sheetFormatPr baseColWidth="10" defaultColWidth="8.83203125" defaultRowHeight="16" x14ac:dyDescent="0.2"/>
  <cols>
    <col min="1" max="1" width="11.6640625" customWidth="1"/>
    <col min="4" max="4" width="9" style="24"/>
    <col min="5" max="5" width="6.33203125" style="98" bestFit="1" customWidth="1"/>
    <col min="6" max="6" width="11.1640625" style="98" customWidth="1"/>
    <col min="7" max="7" width="6.33203125" style="98" bestFit="1" customWidth="1"/>
    <col min="8" max="14" width="9" style="98"/>
    <col min="15" max="15" width="11.1640625" style="98" bestFit="1" customWidth="1"/>
    <col min="16" max="17" width="11.1640625" style="30" customWidth="1"/>
    <col min="18" max="18" width="6.33203125" style="30" bestFit="1" customWidth="1"/>
    <col min="19" max="19" width="11.1640625" style="30" customWidth="1"/>
    <col min="20" max="20" width="6.33203125" style="30" bestFit="1" customWidth="1"/>
    <col min="21" max="21" width="11.1640625" style="30" customWidth="1"/>
    <col min="22" max="22" width="6.33203125" style="30" bestFit="1" customWidth="1"/>
    <col min="23" max="24" width="6.83203125" style="30" bestFit="1" customWidth="1"/>
    <col min="25" max="25" width="9" style="30"/>
  </cols>
  <sheetData>
    <row r="2" spans="1:28" s="97" customFormat="1" ht="59.25" customHeight="1" x14ac:dyDescent="0.2">
      <c r="D2" s="377" t="s">
        <v>748</v>
      </c>
      <c r="E2" s="377"/>
      <c r="F2" s="377" t="s">
        <v>749</v>
      </c>
      <c r="G2" s="377"/>
      <c r="H2" s="377" t="s">
        <v>750</v>
      </c>
      <c r="I2" s="377"/>
      <c r="J2" s="377" t="s">
        <v>751</v>
      </c>
      <c r="K2" s="377"/>
      <c r="L2" s="377" t="s">
        <v>752</v>
      </c>
      <c r="M2" s="377"/>
      <c r="N2" s="377" t="s">
        <v>753</v>
      </c>
      <c r="O2" s="377"/>
      <c r="P2" s="272"/>
      <c r="Q2" s="377" t="s">
        <v>754</v>
      </c>
      <c r="R2" s="377"/>
      <c r="S2" s="377" t="s">
        <v>755</v>
      </c>
      <c r="T2" s="377"/>
      <c r="U2" s="377" t="s">
        <v>756</v>
      </c>
      <c r="V2" s="377"/>
      <c r="W2" s="376" t="s">
        <v>757</v>
      </c>
      <c r="X2" s="376"/>
      <c r="Y2" s="272"/>
    </row>
    <row r="3" spans="1:28" x14ac:dyDescent="0.2">
      <c r="A3" s="93"/>
      <c r="B3" s="93"/>
      <c r="C3" s="94"/>
      <c r="D3" s="99"/>
      <c r="E3" s="100"/>
      <c r="F3" s="100"/>
      <c r="G3" s="100"/>
      <c r="H3" s="100"/>
      <c r="I3" s="100"/>
      <c r="J3" s="100"/>
      <c r="K3" s="100"/>
      <c r="L3" s="100"/>
      <c r="M3" s="100"/>
      <c r="N3" s="100"/>
      <c r="O3" s="100"/>
      <c r="P3" s="262">
        <v>6</v>
      </c>
      <c r="Q3" s="262"/>
      <c r="R3" s="262"/>
      <c r="S3" s="262"/>
      <c r="T3" s="262"/>
      <c r="U3" s="262"/>
      <c r="V3" s="262"/>
      <c r="W3" s="262"/>
      <c r="X3" s="262"/>
      <c r="Y3" s="262">
        <v>4</v>
      </c>
    </row>
    <row r="4" spans="1:28" x14ac:dyDescent="0.2">
      <c r="A4" s="93"/>
      <c r="B4" s="93"/>
      <c r="C4" s="94"/>
      <c r="D4" s="99"/>
      <c r="E4" s="100"/>
      <c r="F4" s="100"/>
      <c r="G4" s="100"/>
      <c r="H4" s="100"/>
      <c r="I4" s="100"/>
      <c r="J4" s="100"/>
      <c r="K4" s="100"/>
      <c r="L4" s="100"/>
      <c r="M4" s="100"/>
      <c r="N4" s="100"/>
      <c r="O4" s="100"/>
      <c r="P4" s="262">
        <v>0</v>
      </c>
      <c r="Q4" s="262"/>
      <c r="R4" s="262"/>
      <c r="S4" s="262"/>
      <c r="T4" s="262"/>
      <c r="U4" s="262"/>
      <c r="V4" s="262"/>
      <c r="W4" s="262"/>
      <c r="X4" s="262"/>
      <c r="Y4" s="262">
        <v>0</v>
      </c>
    </row>
    <row r="5" spans="1:28" x14ac:dyDescent="0.2">
      <c r="A5" s="95" t="s">
        <v>124</v>
      </c>
      <c r="B5" s="96" t="s">
        <v>47</v>
      </c>
      <c r="C5" s="101" t="s">
        <v>125</v>
      </c>
      <c r="D5" s="273" t="s">
        <v>128</v>
      </c>
      <c r="E5" s="274" t="s">
        <v>155</v>
      </c>
      <c r="F5" s="273" t="s">
        <v>128</v>
      </c>
      <c r="G5" s="274" t="s">
        <v>155</v>
      </c>
      <c r="H5" s="273" t="s">
        <v>128</v>
      </c>
      <c r="I5" s="274" t="s">
        <v>155</v>
      </c>
      <c r="J5" s="273" t="s">
        <v>128</v>
      </c>
      <c r="K5" s="274" t="s">
        <v>155</v>
      </c>
      <c r="L5" s="273" t="s">
        <v>128</v>
      </c>
      <c r="M5" s="274" t="s">
        <v>155</v>
      </c>
      <c r="N5" s="273" t="s">
        <v>128</v>
      </c>
      <c r="O5" s="274" t="s">
        <v>155</v>
      </c>
      <c r="P5" s="275" t="s">
        <v>155</v>
      </c>
      <c r="Q5" s="274" t="s">
        <v>128</v>
      </c>
      <c r="R5" s="274" t="s">
        <v>155</v>
      </c>
      <c r="S5" s="274" t="s">
        <v>128</v>
      </c>
      <c r="T5" s="274" t="s">
        <v>155</v>
      </c>
      <c r="U5" s="274" t="s">
        <v>128</v>
      </c>
      <c r="V5" s="274" t="s">
        <v>155</v>
      </c>
      <c r="W5" s="274" t="s">
        <v>128</v>
      </c>
      <c r="X5" s="274" t="s">
        <v>155</v>
      </c>
      <c r="Y5" s="275" t="s">
        <v>155</v>
      </c>
    </row>
    <row r="6" spans="1:28" x14ac:dyDescent="0.2">
      <c r="A6" s="12" t="s">
        <v>48</v>
      </c>
      <c r="B6" s="12" t="s">
        <v>50</v>
      </c>
      <c r="C6" s="102">
        <v>3.8050000000000002</v>
      </c>
      <c r="D6" s="276"/>
      <c r="E6" s="277"/>
      <c r="F6" s="278"/>
      <c r="G6" s="277"/>
      <c r="H6" s="279"/>
      <c r="I6" s="277"/>
      <c r="J6" s="278"/>
      <c r="K6" s="277"/>
      <c r="L6" s="278"/>
      <c r="M6" s="277"/>
      <c r="N6" s="278"/>
      <c r="O6" s="277"/>
      <c r="P6" s="280"/>
      <c r="Q6" s="281"/>
      <c r="R6" s="282"/>
      <c r="S6" s="281"/>
      <c r="T6" s="282"/>
      <c r="U6" s="281"/>
      <c r="V6" s="282"/>
      <c r="W6" s="281"/>
      <c r="X6" s="282"/>
      <c r="Y6" s="280"/>
      <c r="Z6" s="30"/>
      <c r="AA6" s="30"/>
    </row>
    <row r="7" spans="1:28" x14ac:dyDescent="0.2">
      <c r="A7" s="12" t="s">
        <v>758</v>
      </c>
      <c r="B7" s="12" t="s">
        <v>134</v>
      </c>
      <c r="C7" s="102">
        <v>3.875</v>
      </c>
      <c r="D7" s="276"/>
      <c r="E7" s="282"/>
      <c r="F7" s="283"/>
      <c r="G7" s="284"/>
      <c r="H7" s="285"/>
      <c r="I7" s="282"/>
      <c r="J7" s="283"/>
      <c r="K7" s="282"/>
      <c r="L7" s="283"/>
      <c r="M7" s="282"/>
      <c r="N7" s="283"/>
      <c r="O7" s="282"/>
      <c r="P7" s="280"/>
      <c r="Q7" s="281"/>
      <c r="R7" s="282"/>
      <c r="S7" s="281"/>
      <c r="T7" s="282"/>
      <c r="U7" s="281"/>
      <c r="V7" s="282"/>
      <c r="W7" s="281"/>
      <c r="X7" s="282"/>
      <c r="Y7" s="280"/>
      <c r="Z7" s="30"/>
      <c r="AA7" s="30"/>
    </row>
    <row r="8" spans="1:28" x14ac:dyDescent="0.2">
      <c r="A8" s="12" t="s">
        <v>98</v>
      </c>
      <c r="B8" s="12" t="s">
        <v>99</v>
      </c>
      <c r="C8" s="102">
        <v>4.54</v>
      </c>
      <c r="D8" s="276"/>
      <c r="E8" s="282"/>
      <c r="F8" s="283"/>
      <c r="G8" s="284"/>
      <c r="H8" s="285"/>
      <c r="I8" s="282"/>
      <c r="J8" s="283"/>
      <c r="K8" s="282"/>
      <c r="L8" s="283"/>
      <c r="M8" s="282"/>
      <c r="N8" s="283"/>
      <c r="O8" s="282"/>
      <c r="P8" s="280"/>
      <c r="Q8" s="281"/>
      <c r="R8" s="282"/>
      <c r="S8" s="281"/>
      <c r="T8" s="282"/>
      <c r="U8" s="281"/>
      <c r="V8" s="282"/>
      <c r="W8" s="281"/>
      <c r="X8" s="282"/>
      <c r="Y8" s="280"/>
      <c r="Z8" s="30"/>
      <c r="AA8" s="30"/>
    </row>
    <row r="9" spans="1:28" x14ac:dyDescent="0.2">
      <c r="A9" s="12" t="s">
        <v>88</v>
      </c>
      <c r="B9" s="12" t="s">
        <v>89</v>
      </c>
      <c r="C9" s="102">
        <v>4.75</v>
      </c>
      <c r="D9" s="276"/>
      <c r="E9" s="277"/>
      <c r="F9" s="278"/>
      <c r="G9" s="277"/>
      <c r="H9" s="279"/>
      <c r="I9" s="277"/>
      <c r="J9" s="278"/>
      <c r="K9" s="277"/>
      <c r="L9" s="278"/>
      <c r="M9" s="277"/>
      <c r="N9" s="278"/>
      <c r="O9" s="277"/>
      <c r="P9" s="280"/>
      <c r="Q9" s="281"/>
      <c r="R9" s="282"/>
      <c r="S9" s="281"/>
      <c r="T9" s="282"/>
      <c r="U9" s="281"/>
      <c r="V9" s="282"/>
      <c r="W9" s="281"/>
      <c r="X9" s="282"/>
      <c r="Y9" s="280"/>
      <c r="Z9" s="30"/>
      <c r="AA9" s="30"/>
      <c r="AB9" s="83" t="s">
        <v>759</v>
      </c>
    </row>
    <row r="10" spans="1:28" x14ac:dyDescent="0.2">
      <c r="A10" s="12" t="s">
        <v>92</v>
      </c>
      <c r="B10" s="12" t="s">
        <v>93</v>
      </c>
      <c r="C10" s="102">
        <v>4.05</v>
      </c>
      <c r="D10" s="276"/>
      <c r="E10" s="282"/>
      <c r="F10" s="283"/>
      <c r="G10" s="284"/>
      <c r="H10" s="285"/>
      <c r="I10" s="282"/>
      <c r="J10" s="283"/>
      <c r="K10" s="282"/>
      <c r="L10" s="283"/>
      <c r="M10" s="282"/>
      <c r="N10" s="283"/>
      <c r="O10" s="282"/>
      <c r="P10" s="280"/>
      <c r="Q10" s="281"/>
      <c r="R10" s="282"/>
      <c r="S10" s="281"/>
      <c r="T10" s="282"/>
      <c r="U10" s="281"/>
      <c r="V10" s="282"/>
      <c r="W10" s="281"/>
      <c r="X10" s="282"/>
      <c r="Y10" s="280"/>
      <c r="Z10" s="30"/>
      <c r="AA10" s="30"/>
    </row>
    <row r="11" spans="1:28" x14ac:dyDescent="0.2">
      <c r="A11" s="12" t="s">
        <v>75</v>
      </c>
      <c r="B11" s="12" t="s">
        <v>76</v>
      </c>
      <c r="C11" s="102">
        <v>4.1899999999999995</v>
      </c>
      <c r="D11" s="276"/>
      <c r="E11" s="282"/>
      <c r="F11" s="283"/>
      <c r="G11" s="284"/>
      <c r="H11" s="263"/>
      <c r="I11" s="282"/>
      <c r="J11" s="283"/>
      <c r="K11" s="282"/>
      <c r="L11" s="283"/>
      <c r="M11" s="282"/>
      <c r="N11" s="283"/>
      <c r="O11" s="282"/>
      <c r="P11" s="280"/>
      <c r="Q11" s="281"/>
      <c r="R11" s="282"/>
      <c r="S11" s="281"/>
      <c r="T11" s="282"/>
      <c r="U11" s="281"/>
      <c r="V11" s="282"/>
      <c r="W11" s="281"/>
      <c r="X11" s="282"/>
      <c r="Y11" s="280"/>
      <c r="Z11" s="30"/>
      <c r="AA11" s="30"/>
    </row>
    <row r="12" spans="1:28" x14ac:dyDescent="0.2">
      <c r="A12" s="12" t="s">
        <v>67</v>
      </c>
      <c r="B12" s="12" t="s">
        <v>68</v>
      </c>
      <c r="C12" s="102">
        <v>3.49</v>
      </c>
      <c r="D12" s="276"/>
      <c r="E12" s="282"/>
      <c r="F12" s="283"/>
      <c r="G12" s="284"/>
      <c r="H12" s="285"/>
      <c r="I12" s="282"/>
      <c r="J12" s="283"/>
      <c r="K12" s="282"/>
      <c r="L12" s="283"/>
      <c r="M12" s="282"/>
      <c r="N12" s="283"/>
      <c r="O12" s="282"/>
      <c r="P12" s="280"/>
      <c r="Q12" s="281"/>
      <c r="R12" s="282"/>
      <c r="S12" s="281"/>
      <c r="T12" s="282"/>
      <c r="U12" s="281"/>
      <c r="V12" s="282"/>
      <c r="W12" s="281"/>
      <c r="X12" s="282"/>
      <c r="Y12" s="280"/>
      <c r="Z12" s="30"/>
      <c r="AA12" s="30"/>
    </row>
    <row r="13" spans="1:28" x14ac:dyDescent="0.2">
      <c r="A13" s="12" t="s">
        <v>104</v>
      </c>
      <c r="B13" s="12" t="s">
        <v>105</v>
      </c>
      <c r="C13" s="102">
        <v>3.9800000000000004</v>
      </c>
      <c r="D13" s="276"/>
      <c r="E13" s="282"/>
      <c r="F13" s="283"/>
      <c r="G13" s="284"/>
      <c r="H13" s="285"/>
      <c r="I13" s="282"/>
      <c r="J13" s="283"/>
      <c r="K13" s="282"/>
      <c r="L13" s="283"/>
      <c r="M13" s="282"/>
      <c r="N13" s="283"/>
      <c r="O13" s="282"/>
      <c r="P13" s="280"/>
      <c r="Q13" s="281"/>
      <c r="R13" s="282"/>
      <c r="S13" s="281"/>
      <c r="T13" s="282"/>
      <c r="U13" s="281"/>
      <c r="V13" s="282"/>
      <c r="W13" s="281"/>
      <c r="X13" s="282"/>
      <c r="Y13" s="280"/>
      <c r="Z13" s="30"/>
      <c r="AA13" s="30"/>
    </row>
    <row r="14" spans="1:28" x14ac:dyDescent="0.2">
      <c r="A14" s="12" t="s">
        <v>63</v>
      </c>
      <c r="B14" s="12" t="s">
        <v>64</v>
      </c>
      <c r="C14" s="102">
        <v>4.1899999999999995</v>
      </c>
      <c r="D14" s="276"/>
      <c r="E14" s="282"/>
      <c r="F14" s="283"/>
      <c r="G14" s="284"/>
      <c r="H14" s="285"/>
      <c r="I14" s="282"/>
      <c r="J14" s="283"/>
      <c r="K14" s="282"/>
      <c r="L14" s="283"/>
      <c r="M14" s="282"/>
      <c r="N14" s="283"/>
      <c r="O14" s="282"/>
      <c r="P14" s="280"/>
      <c r="Q14" s="281"/>
      <c r="R14" s="282"/>
      <c r="S14" s="281"/>
      <c r="T14" s="282"/>
      <c r="U14" s="281"/>
      <c r="V14" s="282"/>
      <c r="W14" s="281"/>
      <c r="X14" s="282"/>
      <c r="Y14" s="280"/>
      <c r="Z14" s="30"/>
      <c r="AA14" s="30"/>
    </row>
    <row r="15" spans="1:28" x14ac:dyDescent="0.2">
      <c r="A15" s="12" t="s">
        <v>114</v>
      </c>
      <c r="B15" s="12" t="s">
        <v>115</v>
      </c>
      <c r="C15" s="102">
        <v>7.55</v>
      </c>
      <c r="D15" s="276"/>
      <c r="E15" s="277"/>
      <c r="F15" s="278"/>
      <c r="G15" s="277"/>
      <c r="H15" s="279"/>
      <c r="I15" s="277"/>
      <c r="J15" s="278"/>
      <c r="K15" s="277"/>
      <c r="L15" s="278"/>
      <c r="M15" s="277"/>
      <c r="N15" s="278"/>
      <c r="O15" s="277"/>
      <c r="P15" s="280"/>
      <c r="Q15" s="281"/>
      <c r="R15" s="282"/>
      <c r="S15" s="281"/>
      <c r="T15" s="282"/>
      <c r="U15" s="281"/>
      <c r="V15" s="282"/>
      <c r="W15" s="281"/>
      <c r="X15" s="282"/>
      <c r="Y15" s="280"/>
      <c r="Z15" s="30"/>
      <c r="AA15" s="30"/>
    </row>
    <row r="16" spans="1:28" x14ac:dyDescent="0.2">
      <c r="A16" s="12" t="s">
        <v>61</v>
      </c>
      <c r="B16" s="12" t="s">
        <v>62</v>
      </c>
      <c r="C16" s="102">
        <v>4.1899999999999995</v>
      </c>
      <c r="D16" s="276"/>
      <c r="E16" s="282"/>
      <c r="F16" s="283"/>
      <c r="G16" s="284"/>
      <c r="H16" s="285"/>
      <c r="I16" s="282"/>
      <c r="J16" s="283"/>
      <c r="K16" s="282"/>
      <c r="L16" s="283"/>
      <c r="M16" s="282"/>
      <c r="N16" s="283"/>
      <c r="O16" s="282"/>
      <c r="P16" s="280"/>
      <c r="Q16" s="281"/>
      <c r="R16" s="282"/>
      <c r="S16" s="281"/>
      <c r="T16" s="282"/>
      <c r="U16" s="281"/>
      <c r="V16" s="282"/>
      <c r="W16" s="281"/>
      <c r="X16" s="282"/>
      <c r="Y16" s="280"/>
      <c r="Z16" s="30"/>
      <c r="AA16" s="30"/>
    </row>
    <row r="17" spans="1:27" x14ac:dyDescent="0.2">
      <c r="A17" s="12" t="s">
        <v>102</v>
      </c>
      <c r="B17" s="12" t="s">
        <v>103</v>
      </c>
      <c r="C17" s="102">
        <v>4.05</v>
      </c>
      <c r="D17" s="264"/>
      <c r="E17" s="282"/>
      <c r="F17" s="278"/>
      <c r="G17" s="284"/>
      <c r="H17" s="278"/>
      <c r="I17" s="282"/>
      <c r="J17" s="278"/>
      <c r="K17" s="282"/>
      <c r="L17" s="278"/>
      <c r="M17" s="282"/>
      <c r="N17" s="278"/>
      <c r="O17" s="282"/>
      <c r="P17" s="280"/>
      <c r="Q17" s="281"/>
      <c r="R17" s="282"/>
      <c r="S17" s="281"/>
      <c r="T17" s="282"/>
      <c r="U17" s="281"/>
      <c r="V17" s="282"/>
      <c r="W17" s="281"/>
      <c r="X17" s="282"/>
      <c r="Y17" s="280"/>
      <c r="Z17" s="30"/>
      <c r="AA17" s="30"/>
    </row>
    <row r="18" spans="1:27" x14ac:dyDescent="0.2">
      <c r="A18" s="12" t="s">
        <v>71</v>
      </c>
      <c r="B18" s="12" t="s">
        <v>72</v>
      </c>
      <c r="C18" s="102">
        <v>4.05</v>
      </c>
      <c r="D18" s="276"/>
      <c r="E18" s="282"/>
      <c r="F18" s="283"/>
      <c r="G18" s="284"/>
      <c r="H18" s="285"/>
      <c r="I18" s="282"/>
      <c r="J18" s="283"/>
      <c r="K18" s="282"/>
      <c r="L18" s="283"/>
      <c r="M18" s="282"/>
      <c r="N18" s="283"/>
      <c r="O18" s="282"/>
      <c r="P18" s="280"/>
      <c r="Q18" s="281"/>
      <c r="R18" s="282"/>
      <c r="S18" s="281"/>
      <c r="T18" s="282"/>
      <c r="U18" s="281"/>
      <c r="V18" s="282"/>
      <c r="W18" s="281"/>
      <c r="X18" s="282"/>
      <c r="Y18" s="280"/>
      <c r="Z18" s="30"/>
      <c r="AA18" s="30"/>
    </row>
    <row r="19" spans="1:27" x14ac:dyDescent="0.2">
      <c r="A19" s="12" t="s">
        <v>108</v>
      </c>
      <c r="B19" s="12" t="s">
        <v>109</v>
      </c>
      <c r="C19" s="102">
        <v>6.15</v>
      </c>
      <c r="D19" s="264"/>
      <c r="E19" s="282"/>
      <c r="F19" s="283"/>
      <c r="G19" s="284"/>
      <c r="H19" s="285"/>
      <c r="I19" s="282"/>
      <c r="J19" s="283"/>
      <c r="K19" s="282"/>
      <c r="L19" s="283"/>
      <c r="M19" s="282"/>
      <c r="N19" s="265"/>
      <c r="O19" s="282"/>
      <c r="P19" s="280"/>
      <c r="Q19" s="281"/>
      <c r="R19" s="282"/>
      <c r="S19" s="281"/>
      <c r="T19" s="282"/>
      <c r="U19" s="281"/>
      <c r="V19" s="282"/>
      <c r="W19" s="281"/>
      <c r="X19" s="282"/>
      <c r="Y19" s="280"/>
      <c r="Z19" s="30"/>
      <c r="AA19" s="30"/>
    </row>
    <row r="20" spans="1:27" x14ac:dyDescent="0.2">
      <c r="A20" s="12" t="s">
        <v>110</v>
      </c>
      <c r="B20" s="12" t="s">
        <v>111</v>
      </c>
      <c r="C20" s="102">
        <v>3.84</v>
      </c>
      <c r="D20" s="276"/>
      <c r="E20" s="282"/>
      <c r="F20" s="283"/>
      <c r="G20" s="284"/>
      <c r="H20" s="285"/>
      <c r="I20" s="282"/>
      <c r="J20" s="283"/>
      <c r="K20" s="282"/>
      <c r="L20" s="283"/>
      <c r="M20" s="282"/>
      <c r="N20" s="283"/>
      <c r="O20" s="282"/>
      <c r="P20" s="280"/>
      <c r="Q20" s="281"/>
      <c r="R20" s="282"/>
      <c r="S20" s="281"/>
      <c r="T20" s="282"/>
      <c r="U20" s="281"/>
      <c r="V20" s="282"/>
      <c r="W20" s="281"/>
      <c r="X20" s="282"/>
      <c r="Y20" s="280"/>
      <c r="Z20" s="30"/>
      <c r="AA20" s="30"/>
    </row>
    <row r="21" spans="1:27" x14ac:dyDescent="0.2">
      <c r="A21" s="12" t="s">
        <v>86</v>
      </c>
      <c r="B21" s="12" t="s">
        <v>87</v>
      </c>
      <c r="C21" s="102">
        <v>4.1199999999999992</v>
      </c>
      <c r="D21" s="276"/>
      <c r="E21" s="282"/>
      <c r="F21" s="283"/>
      <c r="G21" s="284"/>
      <c r="H21" s="285"/>
      <c r="I21" s="282"/>
      <c r="J21" s="283"/>
      <c r="K21" s="282"/>
      <c r="L21" s="283"/>
      <c r="M21" s="282"/>
      <c r="N21" s="283"/>
      <c r="O21" s="282"/>
      <c r="P21" s="280"/>
      <c r="Q21" s="281"/>
      <c r="R21" s="282"/>
      <c r="S21" s="281"/>
      <c r="T21" s="282"/>
      <c r="U21" s="281"/>
      <c r="V21" s="282"/>
      <c r="W21" s="281"/>
      <c r="X21" s="282"/>
      <c r="Y21" s="280"/>
      <c r="Z21" s="30"/>
      <c r="AA21" s="30"/>
    </row>
    <row r="22" spans="1:27" x14ac:dyDescent="0.2">
      <c r="A22" s="12" t="s">
        <v>112</v>
      </c>
      <c r="B22" s="12" t="s">
        <v>113</v>
      </c>
      <c r="C22" s="102">
        <v>4.54</v>
      </c>
      <c r="D22" s="276"/>
      <c r="E22" s="282"/>
      <c r="F22" s="283"/>
      <c r="G22" s="284"/>
      <c r="H22" s="285"/>
      <c r="I22" s="282"/>
      <c r="J22" s="283"/>
      <c r="K22" s="282"/>
      <c r="L22" s="283"/>
      <c r="M22" s="282"/>
      <c r="N22" s="283"/>
      <c r="O22" s="282"/>
      <c r="P22" s="280"/>
      <c r="Q22" s="281"/>
      <c r="R22" s="282"/>
      <c r="S22" s="281"/>
      <c r="T22" s="282"/>
      <c r="U22" s="281"/>
      <c r="V22" s="282"/>
      <c r="W22" s="281"/>
      <c r="X22" s="282"/>
      <c r="Y22" s="280"/>
      <c r="Z22" s="30"/>
      <c r="AA22" s="30"/>
    </row>
    <row r="23" spans="1:27" x14ac:dyDescent="0.2">
      <c r="A23" s="12" t="s">
        <v>84</v>
      </c>
      <c r="B23" s="12" t="s">
        <v>85</v>
      </c>
      <c r="C23" s="102">
        <v>4.75</v>
      </c>
      <c r="D23" s="276"/>
      <c r="E23" s="282"/>
      <c r="F23" s="283"/>
      <c r="G23" s="284"/>
      <c r="H23" s="285"/>
      <c r="I23" s="282"/>
      <c r="J23" s="283"/>
      <c r="K23" s="282"/>
      <c r="L23" s="283"/>
      <c r="M23" s="282"/>
      <c r="N23" s="283"/>
      <c r="O23" s="282"/>
      <c r="P23" s="280"/>
      <c r="Q23" s="281"/>
      <c r="R23" s="282"/>
      <c r="S23" s="281"/>
      <c r="T23" s="282"/>
      <c r="U23" s="281"/>
      <c r="V23" s="282"/>
      <c r="W23" s="281"/>
      <c r="X23" s="282"/>
      <c r="Y23" s="280"/>
      <c r="Z23" s="30"/>
      <c r="AA23" s="30"/>
    </row>
    <row r="24" spans="1:27" x14ac:dyDescent="0.2">
      <c r="A24" s="12" t="s">
        <v>81</v>
      </c>
      <c r="B24" s="12" t="s">
        <v>83</v>
      </c>
      <c r="C24" s="102">
        <v>3.84</v>
      </c>
      <c r="D24" s="276"/>
      <c r="E24" s="282"/>
      <c r="F24" s="283"/>
      <c r="G24" s="284"/>
      <c r="H24" s="285"/>
      <c r="I24" s="282"/>
      <c r="J24" s="283"/>
      <c r="K24" s="282"/>
      <c r="L24" s="283"/>
      <c r="M24" s="282"/>
      <c r="N24" s="283"/>
      <c r="O24" s="282"/>
      <c r="P24" s="280"/>
      <c r="Q24" s="281"/>
      <c r="R24" s="282"/>
      <c r="S24" s="281"/>
      <c r="T24" s="282"/>
      <c r="U24" s="281"/>
      <c r="V24" s="282"/>
      <c r="W24" s="281"/>
      <c r="X24" s="282"/>
      <c r="Y24" s="280"/>
      <c r="Z24" s="30"/>
      <c r="AA24" s="30"/>
    </row>
    <row r="25" spans="1:27" x14ac:dyDescent="0.2">
      <c r="A25" s="12" t="s">
        <v>106</v>
      </c>
      <c r="B25" s="12" t="s">
        <v>107</v>
      </c>
      <c r="C25" s="102">
        <v>5.4499999999999993</v>
      </c>
      <c r="D25" s="276"/>
      <c r="E25" s="277"/>
      <c r="F25" s="283"/>
      <c r="G25" s="284"/>
      <c r="H25" s="285"/>
      <c r="I25" s="282"/>
      <c r="J25" s="283"/>
      <c r="K25" s="282"/>
      <c r="L25" s="283"/>
      <c r="M25" s="282"/>
      <c r="N25" s="283"/>
      <c r="O25" s="282"/>
      <c r="P25" s="280"/>
      <c r="Q25" s="281"/>
      <c r="R25" s="282"/>
      <c r="S25" s="281"/>
      <c r="T25" s="282"/>
      <c r="U25" s="281"/>
      <c r="V25" s="282"/>
      <c r="W25" s="281"/>
      <c r="X25" s="282"/>
      <c r="Y25" s="280"/>
      <c r="Z25" s="30"/>
      <c r="AA25" s="30"/>
    </row>
    <row r="26" spans="1:27" x14ac:dyDescent="0.2">
      <c r="A26" s="12" t="s">
        <v>65</v>
      </c>
      <c r="B26" s="12" t="s">
        <v>66</v>
      </c>
      <c r="C26" s="102">
        <v>4.05</v>
      </c>
      <c r="D26" s="276"/>
      <c r="E26" s="282"/>
      <c r="F26" s="283"/>
      <c r="G26" s="284"/>
      <c r="H26" s="285"/>
      <c r="I26" s="282"/>
      <c r="J26" s="283"/>
      <c r="K26" s="282"/>
      <c r="L26" s="283"/>
      <c r="M26" s="282"/>
      <c r="N26" s="283"/>
      <c r="O26" s="282"/>
      <c r="P26" s="280"/>
      <c r="Q26" s="281"/>
      <c r="R26" s="282"/>
      <c r="S26" s="281"/>
      <c r="T26" s="282"/>
      <c r="U26" s="281"/>
      <c r="V26" s="282"/>
      <c r="W26" s="281"/>
      <c r="X26" s="282"/>
      <c r="Y26" s="280"/>
      <c r="Z26" s="30"/>
      <c r="AA26" s="30"/>
    </row>
    <row r="27" spans="1:27" x14ac:dyDescent="0.2">
      <c r="A27" s="12" t="s">
        <v>100</v>
      </c>
      <c r="B27" s="12" t="s">
        <v>101</v>
      </c>
      <c r="C27" s="102">
        <v>3.84</v>
      </c>
      <c r="D27" s="276"/>
      <c r="E27" s="282"/>
      <c r="F27" s="283"/>
      <c r="G27" s="284"/>
      <c r="H27" s="285"/>
      <c r="I27" s="282"/>
      <c r="J27" s="283"/>
      <c r="K27" s="282"/>
      <c r="L27" s="283"/>
      <c r="M27" s="282"/>
      <c r="N27" s="283"/>
      <c r="O27" s="282"/>
      <c r="P27" s="280"/>
      <c r="Q27" s="281"/>
      <c r="R27" s="282"/>
      <c r="S27" s="281"/>
      <c r="T27" s="282"/>
      <c r="U27" s="281"/>
      <c r="V27" s="282"/>
      <c r="W27" s="281"/>
      <c r="X27" s="282"/>
      <c r="Y27" s="280"/>
      <c r="Z27" s="30"/>
      <c r="AA27" s="30"/>
    </row>
    <row r="28" spans="1:27" x14ac:dyDescent="0.2">
      <c r="A28" s="12" t="s">
        <v>69</v>
      </c>
      <c r="B28" s="12" t="s">
        <v>70</v>
      </c>
      <c r="C28" s="102">
        <v>4.05</v>
      </c>
      <c r="D28" s="264"/>
      <c r="E28" s="282"/>
      <c r="F28" s="278"/>
      <c r="G28" s="284"/>
      <c r="H28" s="278"/>
      <c r="I28" s="282"/>
      <c r="J28" s="278"/>
      <c r="K28" s="282"/>
      <c r="L28" s="278"/>
      <c r="M28" s="282"/>
      <c r="N28" s="278"/>
      <c r="O28" s="282"/>
      <c r="P28" s="280"/>
      <c r="Q28" s="281"/>
      <c r="R28" s="282"/>
      <c r="S28" s="281"/>
      <c r="T28" s="282"/>
      <c r="U28" s="281"/>
      <c r="V28" s="282"/>
      <c r="W28" s="281"/>
      <c r="X28" s="282"/>
      <c r="Y28" s="280"/>
      <c r="Z28" s="30"/>
      <c r="AA28" s="30"/>
    </row>
    <row r="29" spans="1:27" x14ac:dyDescent="0.2">
      <c r="A29" s="12" t="s">
        <v>90</v>
      </c>
      <c r="B29" s="12" t="s">
        <v>91</v>
      </c>
      <c r="C29" s="102">
        <v>4.75</v>
      </c>
      <c r="D29" s="276"/>
      <c r="E29" s="282"/>
      <c r="F29" s="283"/>
      <c r="G29" s="284"/>
      <c r="H29" s="285"/>
      <c r="I29" s="282"/>
      <c r="J29" s="283"/>
      <c r="K29" s="282"/>
      <c r="L29" s="283"/>
      <c r="M29" s="282"/>
      <c r="N29" s="283"/>
      <c r="O29" s="282"/>
      <c r="P29" s="280"/>
      <c r="Q29" s="281"/>
      <c r="R29" s="282"/>
      <c r="S29" s="281"/>
      <c r="T29" s="282"/>
      <c r="U29" s="281"/>
      <c r="V29" s="282"/>
      <c r="W29" s="281"/>
      <c r="X29" s="282"/>
      <c r="Y29" s="280"/>
      <c r="Z29" s="30"/>
      <c r="AA29" s="30"/>
    </row>
    <row r="30" spans="1:27" x14ac:dyDescent="0.2">
      <c r="A30" s="12" t="s">
        <v>79</v>
      </c>
      <c r="B30" s="12" t="s">
        <v>80</v>
      </c>
      <c r="C30" s="102">
        <v>3.84</v>
      </c>
      <c r="D30" s="276"/>
      <c r="E30" s="282"/>
      <c r="F30" s="283"/>
      <c r="G30" s="284"/>
      <c r="H30" s="285"/>
      <c r="I30" s="282"/>
      <c r="J30" s="283"/>
      <c r="K30" s="282"/>
      <c r="L30" s="283"/>
      <c r="M30" s="282"/>
      <c r="N30" s="283"/>
      <c r="O30" s="282"/>
      <c r="P30" s="280"/>
      <c r="Q30" s="281"/>
      <c r="R30" s="282"/>
      <c r="S30" s="281"/>
      <c r="T30" s="282"/>
      <c r="U30" s="281"/>
      <c r="V30" s="282"/>
      <c r="W30" s="281"/>
      <c r="X30" s="282"/>
      <c r="Y30" s="280"/>
      <c r="Z30" s="30"/>
      <c r="AA30" s="30"/>
    </row>
    <row r="31" spans="1:27" x14ac:dyDescent="0.2">
      <c r="A31" s="12" t="s">
        <v>73</v>
      </c>
      <c r="B31" s="12" t="s">
        <v>74</v>
      </c>
      <c r="C31" s="102">
        <v>5.0999999999999996</v>
      </c>
      <c r="D31" s="276"/>
      <c r="E31" s="282"/>
      <c r="F31" s="283"/>
      <c r="G31" s="284"/>
      <c r="H31" s="285"/>
      <c r="I31" s="282"/>
      <c r="J31" s="283"/>
      <c r="K31" s="282"/>
      <c r="L31" s="283"/>
      <c r="M31" s="282"/>
      <c r="N31" s="283"/>
      <c r="O31" s="282"/>
      <c r="P31" s="280"/>
      <c r="Q31" s="281"/>
      <c r="R31" s="282"/>
      <c r="S31" s="281"/>
      <c r="T31" s="282"/>
      <c r="U31" s="281"/>
      <c r="V31" s="282"/>
      <c r="W31" s="281"/>
      <c r="X31" s="282"/>
      <c r="Y31" s="280"/>
      <c r="Z31" s="30"/>
      <c r="AA31" s="30"/>
    </row>
    <row r="32" spans="1:27" x14ac:dyDescent="0.2">
      <c r="A32" s="12" t="s">
        <v>77</v>
      </c>
      <c r="B32" s="12" t="s">
        <v>78</v>
      </c>
      <c r="C32" s="102">
        <v>4.05</v>
      </c>
      <c r="D32" s="276"/>
      <c r="E32" s="282"/>
      <c r="F32" s="283"/>
      <c r="G32" s="284"/>
      <c r="H32" s="285"/>
      <c r="I32" s="282"/>
      <c r="J32" s="283"/>
      <c r="K32" s="282"/>
      <c r="L32" s="283"/>
      <c r="M32" s="282"/>
      <c r="N32" s="283"/>
      <c r="O32" s="282"/>
      <c r="P32" s="280"/>
      <c r="Q32" s="281"/>
      <c r="R32" s="282"/>
      <c r="S32" s="281"/>
      <c r="T32" s="282"/>
      <c r="U32" s="281"/>
      <c r="V32" s="282"/>
      <c r="W32" s="281"/>
      <c r="X32" s="282"/>
      <c r="Y32" s="280"/>
      <c r="Z32" s="30"/>
      <c r="AA32" s="30"/>
    </row>
    <row r="33" spans="1:27" x14ac:dyDescent="0.2">
      <c r="A33" s="12" t="s">
        <v>57</v>
      </c>
      <c r="B33" s="12" t="s">
        <v>58</v>
      </c>
      <c r="C33" s="102">
        <v>3.49</v>
      </c>
      <c r="D33" s="276"/>
      <c r="E33" s="282"/>
      <c r="F33" s="283"/>
      <c r="G33" s="284"/>
      <c r="H33" s="285"/>
      <c r="I33" s="282"/>
      <c r="J33" s="283"/>
      <c r="K33" s="282"/>
      <c r="L33" s="283"/>
      <c r="M33" s="282"/>
      <c r="N33" s="283"/>
      <c r="O33" s="282"/>
      <c r="P33" s="280"/>
      <c r="Q33" s="281"/>
      <c r="R33" s="282"/>
      <c r="S33" s="281"/>
      <c r="T33" s="282"/>
      <c r="U33" s="281"/>
      <c r="V33" s="282"/>
      <c r="W33" s="281"/>
      <c r="X33" s="282"/>
      <c r="Y33" s="280"/>
      <c r="Z33" s="30"/>
      <c r="AA33" s="30"/>
    </row>
    <row r="34" spans="1:27" x14ac:dyDescent="0.2">
      <c r="A34" s="12" t="s">
        <v>59</v>
      </c>
      <c r="B34" s="12" t="s">
        <v>60</v>
      </c>
      <c r="C34" s="102">
        <v>3.49</v>
      </c>
      <c r="D34" s="276"/>
      <c r="E34" s="282"/>
      <c r="F34" s="283"/>
      <c r="G34" s="284"/>
      <c r="H34" s="285"/>
      <c r="I34" s="282"/>
      <c r="J34" s="283"/>
      <c r="K34" s="282"/>
      <c r="L34" s="283"/>
      <c r="M34" s="282"/>
      <c r="N34" s="283"/>
      <c r="O34" s="282"/>
      <c r="P34" s="280"/>
      <c r="Q34" s="281"/>
      <c r="R34" s="282"/>
      <c r="S34" s="281"/>
      <c r="T34" s="282"/>
      <c r="U34" s="281"/>
      <c r="V34" s="282"/>
      <c r="W34" s="281"/>
      <c r="X34" s="282"/>
      <c r="Y34" s="280"/>
      <c r="Z34" s="30"/>
      <c r="AA34" s="30"/>
    </row>
    <row r="35" spans="1:27" x14ac:dyDescent="0.2">
      <c r="A35" s="12" t="s">
        <v>53</v>
      </c>
      <c r="B35" s="12" t="s">
        <v>54</v>
      </c>
      <c r="C35" s="102">
        <v>4.1899999999999995</v>
      </c>
      <c r="D35" s="276"/>
      <c r="E35" s="282"/>
      <c r="F35" s="283"/>
      <c r="G35" s="284"/>
      <c r="H35" s="285"/>
      <c r="I35" s="282"/>
      <c r="J35" s="283"/>
      <c r="K35" s="282"/>
      <c r="L35" s="283"/>
      <c r="M35" s="282"/>
      <c r="N35" s="283"/>
      <c r="O35" s="282"/>
      <c r="P35" s="280"/>
      <c r="Q35" s="281"/>
      <c r="R35" s="282"/>
      <c r="S35" s="281"/>
      <c r="T35" s="282"/>
      <c r="U35" s="281"/>
      <c r="V35" s="282"/>
      <c r="W35" s="281"/>
      <c r="X35" s="282"/>
      <c r="Y35" s="280"/>
      <c r="Z35" s="30"/>
      <c r="AA35" s="30"/>
    </row>
    <row r="36" spans="1:27" x14ac:dyDescent="0.2">
      <c r="A36" s="12" t="s">
        <v>55</v>
      </c>
      <c r="B36" s="12" t="s">
        <v>56</v>
      </c>
      <c r="C36" s="102">
        <v>3.49</v>
      </c>
      <c r="D36" s="276"/>
      <c r="E36" s="282"/>
      <c r="F36" s="283"/>
      <c r="G36" s="284"/>
      <c r="H36" s="285"/>
      <c r="I36" s="282"/>
      <c r="J36" s="283"/>
      <c r="K36" s="282"/>
      <c r="L36" s="283"/>
      <c r="M36" s="282"/>
      <c r="N36" s="283"/>
      <c r="O36" s="282"/>
      <c r="P36" s="280"/>
      <c r="Q36" s="281"/>
      <c r="R36" s="282"/>
      <c r="S36" s="281"/>
      <c r="T36" s="282"/>
      <c r="U36" s="281"/>
      <c r="V36" s="282"/>
      <c r="W36" s="281"/>
      <c r="X36" s="282"/>
      <c r="Y36" s="280"/>
      <c r="Z36" s="30"/>
      <c r="AA36" s="30"/>
    </row>
    <row r="37" spans="1:27" x14ac:dyDescent="0.2">
      <c r="A37" s="12" t="s">
        <v>94</v>
      </c>
      <c r="B37" s="12" t="s">
        <v>95</v>
      </c>
      <c r="C37" s="102">
        <v>3.84</v>
      </c>
      <c r="D37" s="276"/>
      <c r="E37" s="282"/>
      <c r="F37" s="283"/>
      <c r="G37" s="284"/>
      <c r="H37" s="285"/>
      <c r="I37" s="282"/>
      <c r="J37" s="283"/>
      <c r="K37" s="282"/>
      <c r="L37" s="283"/>
      <c r="M37" s="282"/>
      <c r="N37" s="283"/>
      <c r="O37" s="282"/>
      <c r="P37" s="280"/>
      <c r="Q37" s="281"/>
      <c r="R37" s="282"/>
      <c r="S37" s="281"/>
      <c r="T37" s="282"/>
      <c r="U37" s="281"/>
      <c r="V37" s="282"/>
      <c r="W37" s="281"/>
      <c r="X37" s="282"/>
      <c r="Y37" s="280"/>
      <c r="Z37" s="30"/>
      <c r="AA37" s="30"/>
    </row>
    <row r="38" spans="1:27" x14ac:dyDescent="0.2">
      <c r="A38" s="12" t="s">
        <v>96</v>
      </c>
      <c r="B38" s="12" t="s">
        <v>97</v>
      </c>
      <c r="C38" s="102">
        <v>4.54</v>
      </c>
      <c r="D38" s="276"/>
      <c r="E38" s="282"/>
      <c r="F38" s="283"/>
      <c r="G38" s="284"/>
      <c r="H38" s="285"/>
      <c r="I38" s="282"/>
      <c r="J38" s="283"/>
      <c r="K38" s="282"/>
      <c r="L38" s="283"/>
      <c r="M38" s="282"/>
      <c r="N38" s="283"/>
      <c r="O38" s="282"/>
      <c r="P38" s="280"/>
      <c r="Q38" s="281"/>
      <c r="R38" s="282"/>
      <c r="S38" s="281"/>
      <c r="T38" s="282"/>
      <c r="U38" s="281"/>
      <c r="V38" s="282"/>
      <c r="W38" s="281"/>
      <c r="X38" s="282"/>
      <c r="Y38" s="280"/>
      <c r="Z38" s="30"/>
      <c r="AA38" s="30"/>
    </row>
    <row r="39" spans="1:27" x14ac:dyDescent="0.2">
      <c r="A39" s="12" t="s">
        <v>51</v>
      </c>
      <c r="B39" s="12" t="s">
        <v>52</v>
      </c>
      <c r="C39" s="102">
        <v>3.9800000000000004</v>
      </c>
      <c r="D39" s="276"/>
      <c r="E39" s="282"/>
      <c r="F39" s="283"/>
      <c r="G39" s="284"/>
      <c r="H39" s="285"/>
      <c r="I39" s="282"/>
      <c r="J39" s="283"/>
      <c r="K39" s="282"/>
      <c r="L39" s="283"/>
      <c r="M39" s="282"/>
      <c r="N39" s="283"/>
      <c r="O39" s="282"/>
      <c r="P39" s="280"/>
      <c r="Q39" s="281"/>
      <c r="R39" s="282"/>
      <c r="S39" s="281"/>
      <c r="T39" s="282"/>
      <c r="U39" s="281"/>
      <c r="V39" s="282"/>
      <c r="W39" s="281"/>
      <c r="X39" s="282"/>
      <c r="Y39" s="280"/>
      <c r="Z39" s="30"/>
      <c r="AA39" s="30"/>
    </row>
    <row r="41" spans="1:27" x14ac:dyDescent="0.2">
      <c r="A41" s="22" t="s">
        <v>720</v>
      </c>
    </row>
    <row r="42" spans="1:27" x14ac:dyDescent="0.2">
      <c r="A42" t="s">
        <v>721</v>
      </c>
    </row>
    <row r="43" spans="1:27" x14ac:dyDescent="0.2">
      <c r="A43" t="s">
        <v>722</v>
      </c>
    </row>
  </sheetData>
  <sheetProtection sheet="1" objects="1" scenarios="1"/>
  <mergeCells count="10">
    <mergeCell ref="D2:E2"/>
    <mergeCell ref="F2:G2"/>
    <mergeCell ref="H2:I2"/>
    <mergeCell ref="J2:K2"/>
    <mergeCell ref="L2:M2"/>
    <mergeCell ref="W2:X2"/>
    <mergeCell ref="N2:O2"/>
    <mergeCell ref="Q2:R2"/>
    <mergeCell ref="S2:T2"/>
    <mergeCell ref="U2:V2"/>
  </mergeCells>
  <dataValidations count="7">
    <dataValidation type="list" allowBlank="1" showInputMessage="1" showErrorMessage="1" sqref="D6:D39" xr:uid="{BC65EEAF-E15F-4029-8F6D-2643384B81EB}">
      <formula1>"No, Underway, Present"</formula1>
    </dataValidation>
    <dataValidation type="list" allowBlank="1" showInputMessage="1" showErrorMessage="1" sqref="N17 H17 J17 L17 F6:F39 H28 J28 L28 N28" xr:uid="{00B07181-21DF-4EF7-A9E7-C862722837B3}">
      <formula1>"n/a, Unknown, P2, P3, P4, P5"</formula1>
    </dataValidation>
    <dataValidation type="list" allowBlank="1" showInputMessage="1" showErrorMessage="1" sqref="J6:J16 J18:J27 J29:J39" xr:uid="{E21C882F-E6BD-4578-81D8-92C6A806CFAD}">
      <formula1>"n/a, Other, Fixed"</formula1>
    </dataValidation>
    <dataValidation type="list" allowBlank="1" showInputMessage="1" showErrorMessage="1" sqref="L6:L16 L18:L27 L29:L39" xr:uid="{9525B17A-9071-4B63-BD4E-2207623D13D9}">
      <formula1>"n/a, Other, Current, Next"</formula1>
    </dataValidation>
    <dataValidation type="list" allowBlank="1" showInputMessage="1" showErrorMessage="1" sqref="N6:N16 N18:N27 N29:N39" xr:uid="{58AD9426-B2B1-4108-8390-22E303D26D90}">
      <formula1>"n/a, No, Yes"</formula1>
    </dataValidation>
    <dataValidation type="list" allowBlank="1" showInputMessage="1" showErrorMessage="1" sqref="Q6:Q39 S23:S28 S30:S34 S36 S39 U39" xr:uid="{65FC25E0-0B59-43B3-A69A-DE054C3C5FAA}">
      <formula1>"no, Unknown, Yes"</formula1>
    </dataValidation>
    <dataValidation type="list" allowBlank="1" showInputMessage="1" showErrorMessage="1" sqref="S35 S6:S22 S29 S37:S38 U6:U38" xr:uid="{EEB1C4BC-97AE-45F4-BF1F-2ECF69C5F839}">
      <formula1>"No, Unknown, Yes"</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164B-A1E5-4B64-95CD-8904DA4B0B33}">
  <sheetPr>
    <tabColor rgb="FFD9E1F2"/>
  </sheetPr>
  <dimension ref="A1:P1001"/>
  <sheetViews>
    <sheetView showGridLines="0" workbookViewId="0">
      <selection activeCell="D43" sqref="D43"/>
    </sheetView>
  </sheetViews>
  <sheetFormatPr baseColWidth="10" defaultColWidth="11.1640625" defaultRowHeight="15" customHeight="1" x14ac:dyDescent="0.2"/>
  <cols>
    <col min="1" max="1" width="11.6640625" bestFit="1" customWidth="1"/>
    <col min="2" max="2" width="5.5" bestFit="1" customWidth="1"/>
    <col min="3" max="3" width="12.1640625" customWidth="1"/>
    <col min="4" max="4" width="17.5" style="19" customWidth="1"/>
    <col min="5" max="5" width="13.33203125" style="19" customWidth="1"/>
    <col min="6" max="7" width="14.5" style="19" customWidth="1"/>
    <col min="8" max="8" width="12.1640625" style="19" customWidth="1"/>
    <col min="9" max="13" width="14.5" style="19" customWidth="1"/>
    <col min="14" max="14" width="11.1640625" style="19" customWidth="1"/>
    <col min="15" max="15" width="6.6640625" style="19" customWidth="1"/>
    <col min="16" max="16" width="10.5" style="19" customWidth="1"/>
    <col min="17" max="19" width="9"/>
  </cols>
  <sheetData>
    <row r="1" spans="1:12" s="31" customFormat="1" ht="101.25" customHeight="1" x14ac:dyDescent="0.2">
      <c r="C1" s="79" t="s">
        <v>760</v>
      </c>
      <c r="D1" s="78" t="s">
        <v>547</v>
      </c>
      <c r="E1" s="78" t="s">
        <v>731</v>
      </c>
      <c r="F1" s="78" t="s">
        <v>761</v>
      </c>
      <c r="G1" s="78" t="s">
        <v>762</v>
      </c>
      <c r="H1" s="78" t="s">
        <v>763</v>
      </c>
      <c r="I1" s="78" t="s">
        <v>764</v>
      </c>
      <c r="J1" s="78" t="s">
        <v>765</v>
      </c>
      <c r="K1" s="78" t="s">
        <v>766</v>
      </c>
      <c r="L1" s="78" t="s">
        <v>767</v>
      </c>
    </row>
    <row r="2" spans="1:12" s="92" customFormat="1" ht="15.75" customHeight="1" x14ac:dyDescent="0.15">
      <c r="A2" s="87"/>
      <c r="B2" s="88" t="s">
        <v>121</v>
      </c>
      <c r="C2" s="89"/>
      <c r="D2" s="89"/>
      <c r="E2" s="89"/>
      <c r="F2" s="89"/>
      <c r="G2" s="89"/>
      <c r="H2" s="89"/>
      <c r="I2" s="89"/>
      <c r="J2" s="89"/>
      <c r="K2" s="89"/>
      <c r="L2" s="89">
        <v>0</v>
      </c>
    </row>
    <row r="3" spans="1:12" s="92" customFormat="1" ht="15.75" customHeight="1" x14ac:dyDescent="0.15">
      <c r="A3" s="87"/>
      <c r="B3" s="88" t="s">
        <v>123</v>
      </c>
      <c r="C3" s="89"/>
      <c r="D3" s="90"/>
      <c r="E3" s="90"/>
      <c r="F3" s="89"/>
      <c r="G3" s="89"/>
      <c r="H3" s="89"/>
      <c r="I3" s="89"/>
      <c r="J3" s="89"/>
      <c r="K3" s="89"/>
      <c r="L3" s="105">
        <v>10</v>
      </c>
    </row>
    <row r="4" spans="1:12" s="22" customFormat="1" ht="15.75" customHeight="1" x14ac:dyDescent="0.2">
      <c r="A4" s="15" t="s">
        <v>124</v>
      </c>
      <c r="B4" s="16" t="s">
        <v>47</v>
      </c>
      <c r="C4" s="107" t="s">
        <v>125</v>
      </c>
      <c r="D4" s="106" t="s">
        <v>128</v>
      </c>
      <c r="E4" s="106" t="s">
        <v>128</v>
      </c>
      <c r="F4" s="106" t="s">
        <v>128</v>
      </c>
      <c r="G4" s="106" t="s">
        <v>128</v>
      </c>
      <c r="H4" s="106" t="s">
        <v>128</v>
      </c>
      <c r="I4" s="106" t="s">
        <v>128</v>
      </c>
      <c r="J4" s="106" t="s">
        <v>155</v>
      </c>
      <c r="K4" s="106" t="s">
        <v>155</v>
      </c>
      <c r="L4" s="106" t="s">
        <v>155</v>
      </c>
    </row>
    <row r="5" spans="1:12" ht="15.75" customHeight="1" x14ac:dyDescent="0.2">
      <c r="A5" t="s">
        <v>48</v>
      </c>
      <c r="B5" t="s">
        <v>50</v>
      </c>
      <c r="C5" s="77">
        <f>IF(L5&gt;$L$3,4,10-((PERCENTRANK($L$2:$L$3,L5)*6)))</f>
        <v>8.7579999999999991</v>
      </c>
      <c r="D5" s="21">
        <f>VLOOKUP($B5,'Humanitarian Insight'!$B:$N,9,FALSE)</f>
        <v>3227372908</v>
      </c>
      <c r="E5" s="21">
        <f>VLOOKUP($B5,'Humanitarian Insight'!$B$2:$N$35,2,FALSE)</f>
        <v>4442200000</v>
      </c>
      <c r="F5" s="21">
        <f>VLOOKUP($B5,'Humanitarian Insight'!$B$2:$N$35,4,FALSE)</f>
        <v>45000000</v>
      </c>
      <c r="G5" s="21">
        <f>VLOOKUP($B5,'Humanitarian Insight'!$B$2:$N$35,11,FALSE)</f>
        <v>29704476</v>
      </c>
      <c r="H5" s="21">
        <f>VLOOKUP($B5,'Humanitarian Insight'!$B$2:$N$35,12,FALSE)</f>
        <v>37186580</v>
      </c>
      <c r="I5" s="21">
        <f>VLOOKUP($B5,'Humanitarian Insight'!$B$2:$N$35,5,FALSE)</f>
        <v>26000000</v>
      </c>
      <c r="J5" s="103">
        <f t="shared" ref="J5:J38" si="0">IF(G5&gt;0,((G5/D5)*100),((F5/E5)*100))</f>
        <v>0.92039181237373136</v>
      </c>
      <c r="K5" s="103">
        <f t="shared" ref="K5:K38" si="1">IF(H5&gt;0,(H5/D5)*100,(I5/E5)*100)</f>
        <v>1.1522244580978553</v>
      </c>
      <c r="L5" s="104">
        <f>J5+K5</f>
        <v>2.0726162704715865</v>
      </c>
    </row>
    <row r="6" spans="1:12" ht="15.75" customHeight="1" x14ac:dyDescent="0.2">
      <c r="A6" t="s">
        <v>133</v>
      </c>
      <c r="B6" t="s">
        <v>134</v>
      </c>
      <c r="C6" s="77">
        <f t="shared" ref="C6:C38" si="2">IF(L6&gt;$L$3,4,10-((PERCENTRANK($L$2:$L$3,L6)*6)))</f>
        <v>6.9459999999999997</v>
      </c>
      <c r="D6" s="21">
        <f>VLOOKUP($B6,'Humanitarian Insight'!$B:$N,9,FALSE)</f>
        <v>875927365</v>
      </c>
      <c r="E6" s="21">
        <f>VLOOKUP($B6,'Humanitarian Insight'!$B$2:$N$35,2,FALSE)</f>
        <v>881030780</v>
      </c>
      <c r="F6" s="21">
        <f>VLOOKUP($B6,'Humanitarian Insight'!$B$2:$N$35,4,FALSE)</f>
        <v>22000000</v>
      </c>
      <c r="G6" s="21">
        <f>VLOOKUP($B6,'Humanitarian Insight'!$B$2:$N$35,11,FALSE)</f>
        <v>24230452</v>
      </c>
      <c r="H6" s="21">
        <f>VLOOKUP($B6,'Humanitarian Insight'!$B$2:$N$35,12,FALSE)</f>
        <v>20391767</v>
      </c>
      <c r="I6" s="21">
        <f>VLOOKUP($B6,'Humanitarian Insight'!$B$2:$N$35,5,FALSE)</f>
        <v>21297565</v>
      </c>
      <c r="J6" s="103">
        <f t="shared" si="0"/>
        <v>2.7662627026157587</v>
      </c>
      <c r="K6" s="103">
        <f t="shared" si="1"/>
        <v>2.3280203147894576</v>
      </c>
      <c r="L6" s="104">
        <f t="shared" ref="L6:L38" si="3">J6+K6</f>
        <v>5.0942830174052158</v>
      </c>
    </row>
    <row r="7" spans="1:12" ht="15.75" customHeight="1" x14ac:dyDescent="0.2">
      <c r="A7" t="s">
        <v>98</v>
      </c>
      <c r="B7" t="s">
        <v>99</v>
      </c>
      <c r="C7" s="77">
        <f t="shared" si="2"/>
        <v>4</v>
      </c>
      <c r="D7" s="21">
        <f>VLOOKUP($B7,'Humanitarian Insight'!$B:$N,9,FALSE)</f>
        <v>876731475</v>
      </c>
      <c r="E7" s="21">
        <f>VLOOKUP($B7,'Humanitarian Insight'!$B$2:$N$35,2,FALSE)</f>
        <v>805099698</v>
      </c>
      <c r="F7" s="21">
        <f>VLOOKUP($B7,'Humanitarian Insight'!$B$2:$N$35,4,FALSE)</f>
        <v>25391613</v>
      </c>
      <c r="G7" s="21">
        <f>VLOOKUP($B7,'Humanitarian Insight'!$B$2:$N$35,11,FALSE)</f>
        <v>31773189</v>
      </c>
      <c r="H7" s="21">
        <f>VLOOKUP($B7,'Humanitarian Insight'!$B$2:$N$35,12,FALSE)</f>
        <v>71730240</v>
      </c>
      <c r="I7" s="21">
        <f>VLOOKUP($B7,'Humanitarian Insight'!$B$2:$N$35,5,FALSE)</f>
        <v>61144992</v>
      </c>
      <c r="J7" s="103">
        <f t="shared" si="0"/>
        <v>3.6240502258687588</v>
      </c>
      <c r="K7" s="103">
        <f t="shared" si="1"/>
        <v>8.1815518257742479</v>
      </c>
      <c r="L7" s="104">
        <f t="shared" si="3"/>
        <v>11.805602051643007</v>
      </c>
    </row>
    <row r="8" spans="1:12" ht="15.75" customHeight="1" x14ac:dyDescent="0.2">
      <c r="A8" t="s">
        <v>88</v>
      </c>
      <c r="B8" t="s">
        <v>89</v>
      </c>
      <c r="C8" s="77">
        <f t="shared" si="2"/>
        <v>9.2919999999999998</v>
      </c>
      <c r="D8" s="21">
        <f>VLOOKUP($B8,'Humanitarian Insight'!$B:$N,9,FALSE)</f>
        <v>237180119</v>
      </c>
      <c r="E8" s="21">
        <f>VLOOKUP($B8,'Humanitarian Insight'!$B$2:$N$35,2,FALSE)</f>
        <v>182414025</v>
      </c>
      <c r="F8" s="21">
        <f>VLOOKUP($B8,'Humanitarian Insight'!$B$2:$N$35,4,FALSE)</f>
        <v>4218720</v>
      </c>
      <c r="G8" s="21">
        <f>VLOOKUP($B8,'Humanitarian Insight'!$B$2:$N$35,11,FALSE)</f>
        <v>931500</v>
      </c>
      <c r="H8" s="21">
        <f>VLOOKUP($B8,'Humanitarian Insight'!$B$2:$N$35,12,FALSE)</f>
        <v>1889750</v>
      </c>
      <c r="I8" s="21">
        <f>VLOOKUP($B8,'Humanitarian Insight'!$B$2:$N$35,5,FALSE)</f>
        <v>3052513</v>
      </c>
      <c r="J8" s="103">
        <f t="shared" si="0"/>
        <v>0.392739494324986</v>
      </c>
      <c r="K8" s="103">
        <f t="shared" si="1"/>
        <v>0.79675733698404971</v>
      </c>
      <c r="L8" s="104">
        <f t="shared" si="3"/>
        <v>1.1894968313090357</v>
      </c>
    </row>
    <row r="9" spans="1:12" ht="15.75" customHeight="1" x14ac:dyDescent="0.2">
      <c r="A9" t="s">
        <v>92</v>
      </c>
      <c r="B9" t="s">
        <v>93</v>
      </c>
      <c r="C9" s="77">
        <f t="shared" si="2"/>
        <v>4.93</v>
      </c>
      <c r="D9" s="21">
        <f>VLOOKUP($B9,'Humanitarian Insight'!$B:$N,9,FALSE)</f>
        <v>407309869</v>
      </c>
      <c r="E9" s="21">
        <f>VLOOKUP($B9,'Humanitarian Insight'!$B$2:$N$35,2,FALSE)</f>
        <v>376046051</v>
      </c>
      <c r="F9" s="21">
        <f>VLOOKUP($B9,'Humanitarian Insight'!$B$2:$N$35,4,FALSE)</f>
        <v>19757761</v>
      </c>
      <c r="G9" s="21">
        <f>VLOOKUP($B9,'Humanitarian Insight'!$B$2:$N$35,11,FALSE)</f>
        <v>18131206</v>
      </c>
      <c r="H9" s="21">
        <f>VLOOKUP($B9,'Humanitarian Insight'!$B$2:$N$35,12,FALSE)</f>
        <v>16318946</v>
      </c>
      <c r="I9" s="21">
        <f>VLOOKUP($B9,'Humanitarian Insight'!$B$2:$N$35,5,FALSE)</f>
        <v>22875967</v>
      </c>
      <c r="J9" s="103">
        <f t="shared" si="0"/>
        <v>4.4514526604804656</v>
      </c>
      <c r="K9" s="103">
        <f t="shared" si="1"/>
        <v>4.0065186831994</v>
      </c>
      <c r="L9" s="104">
        <f t="shared" si="3"/>
        <v>8.4579713436798656</v>
      </c>
    </row>
    <row r="10" spans="1:12" ht="15.75" customHeight="1" x14ac:dyDescent="0.2">
      <c r="A10" t="s">
        <v>75</v>
      </c>
      <c r="B10" t="s">
        <v>76</v>
      </c>
      <c r="C10" s="77">
        <f t="shared" si="2"/>
        <v>7.1980000000000004</v>
      </c>
      <c r="D10" s="21">
        <f>VLOOKUP($B10,'Humanitarian Insight'!$B:$N,9,FALSE)</f>
        <v>533305798</v>
      </c>
      <c r="E10" s="21">
        <f>VLOOKUP($B10,'Humanitarian Insight'!$B$2:$N$35,2,FALSE)</f>
        <v>461253975</v>
      </c>
      <c r="F10" s="21">
        <f>VLOOKUP($B10,'Humanitarian Insight'!$B$2:$N$35,4,FALSE)</f>
        <v>12000000</v>
      </c>
      <c r="G10" s="21">
        <f>VLOOKUP($B10,'Humanitarian Insight'!$B$2:$N$35,11,FALSE)</f>
        <v>14436157</v>
      </c>
      <c r="H10" s="21">
        <f>VLOOKUP($B10,'Humanitarian Insight'!$B$2:$N$35,12,FALSE)</f>
        <v>10480000</v>
      </c>
      <c r="I10" s="21">
        <f>VLOOKUP($B10,'Humanitarian Insight'!$B$2:$N$35,5,FALSE)</f>
        <v>8700000</v>
      </c>
      <c r="J10" s="103">
        <f t="shared" si="0"/>
        <v>2.7069191923542522</v>
      </c>
      <c r="K10" s="103">
        <f t="shared" si="1"/>
        <v>1.9651014557317825</v>
      </c>
      <c r="L10" s="104">
        <f t="shared" si="3"/>
        <v>4.6720206480860345</v>
      </c>
    </row>
    <row r="11" spans="1:12" ht="15.75" customHeight="1" x14ac:dyDescent="0.2">
      <c r="A11" t="s">
        <v>67</v>
      </c>
      <c r="B11" t="s">
        <v>68</v>
      </c>
      <c r="C11" s="77">
        <f t="shared" si="2"/>
        <v>9.1660000000000004</v>
      </c>
      <c r="D11" s="21">
        <f>VLOOKUP($B11,'Humanitarian Insight'!$B:$N,9,FALSE)</f>
        <v>920624766</v>
      </c>
      <c r="E11" s="21">
        <f>VLOOKUP($B11,'Humanitarian Insight'!$B$2:$N$35,2,FALSE)</f>
        <v>510909899</v>
      </c>
      <c r="F11" s="21">
        <f>VLOOKUP($B11,'Humanitarian Insight'!$B$2:$N$35,4,FALSE)</f>
        <v>10664719</v>
      </c>
      <c r="G11" s="21">
        <f>VLOOKUP($B11,'Humanitarian Insight'!$B$2:$N$35,11,FALSE)</f>
        <v>5963151</v>
      </c>
      <c r="H11" s="21">
        <f>VLOOKUP($B11,'Humanitarian Insight'!$B$2:$N$35,12,FALSE)</f>
        <v>6880433</v>
      </c>
      <c r="I11" s="21">
        <f>VLOOKUP($B11,'Humanitarian Insight'!$B$2:$N$35,5,FALSE)</f>
        <v>5859485</v>
      </c>
      <c r="J11" s="103">
        <f t="shared" si="0"/>
        <v>0.64772871860803272</v>
      </c>
      <c r="K11" s="103">
        <f t="shared" si="1"/>
        <v>0.74736562105477833</v>
      </c>
      <c r="L11" s="104">
        <f t="shared" si="3"/>
        <v>1.395094339662811</v>
      </c>
    </row>
    <row r="12" spans="1:12" ht="15.75" customHeight="1" x14ac:dyDescent="0.2">
      <c r="A12" t="s">
        <v>104</v>
      </c>
      <c r="B12" t="s">
        <v>105</v>
      </c>
      <c r="C12" s="77">
        <f t="shared" si="2"/>
        <v>4</v>
      </c>
      <c r="D12" s="21">
        <f>VLOOKUP($B12,'Humanitarian Insight'!$B:$N,9,FALSE)</f>
        <v>283317893</v>
      </c>
      <c r="E12" s="21">
        <f>VLOOKUP($B12,'Humanitarian Insight'!$B$2:$N$35,2,FALSE)</f>
        <v>282854048</v>
      </c>
      <c r="F12" s="21">
        <f>VLOOKUP($B12,'Humanitarian Insight'!$B$2:$N$35,4,FALSE)</f>
        <v>12449500</v>
      </c>
      <c r="G12" s="21">
        <f>VLOOKUP($B12,'Humanitarian Insight'!$B$2:$N$35,11,FALSE)</f>
        <v>19625957</v>
      </c>
      <c r="H12" s="21">
        <f>VLOOKUP($B12,'Humanitarian Insight'!$B$2:$N$35,12,FALSE)</f>
        <v>21421960</v>
      </c>
      <c r="I12" s="21">
        <f>VLOOKUP($B12,'Humanitarian Insight'!$B$2:$N$35,5,FALSE)</f>
        <v>13104162</v>
      </c>
      <c r="J12" s="103">
        <f t="shared" si="0"/>
        <v>6.9271858519715872</v>
      </c>
      <c r="K12" s="103">
        <f t="shared" si="1"/>
        <v>7.561103809281823</v>
      </c>
      <c r="L12" s="104">
        <f t="shared" si="3"/>
        <v>14.488289661253411</v>
      </c>
    </row>
    <row r="13" spans="1:12" ht="15.75" customHeight="1" x14ac:dyDescent="0.2">
      <c r="A13" t="s">
        <v>63</v>
      </c>
      <c r="B13" t="s">
        <v>64</v>
      </c>
      <c r="C13" s="77">
        <f t="shared" si="2"/>
        <v>7.8220000000000001</v>
      </c>
      <c r="D13" s="21">
        <f>VLOOKUP($B13,'Humanitarian Insight'!$B:$N,9,FALSE)</f>
        <v>2252684083</v>
      </c>
      <c r="E13" s="21">
        <f>VLOOKUP($B13,'Humanitarian Insight'!$B$2:$N$35,2,FALSE)</f>
        <v>1881674597</v>
      </c>
      <c r="F13" s="21">
        <f>VLOOKUP($B13,'Humanitarian Insight'!$B$2:$N$35,4,FALSE)</f>
        <v>43436304</v>
      </c>
      <c r="G13" s="21">
        <f>VLOOKUP($B13,'Humanitarian Insight'!$B$2:$N$35,11,FALSE)</f>
        <v>43876785</v>
      </c>
      <c r="H13" s="21">
        <f>VLOOKUP($B13,'Humanitarian Insight'!$B$2:$N$35,12,FALSE)</f>
        <v>37936342</v>
      </c>
      <c r="I13" s="21">
        <f>VLOOKUP($B13,'Humanitarian Insight'!$B$2:$N$35,5,FALSE)</f>
        <v>29286982</v>
      </c>
      <c r="J13" s="103">
        <f t="shared" si="0"/>
        <v>1.9477558052244648</v>
      </c>
      <c r="K13" s="103">
        <f t="shared" si="1"/>
        <v>1.68405069695696</v>
      </c>
      <c r="L13" s="104">
        <f t="shared" si="3"/>
        <v>3.6318065021814245</v>
      </c>
    </row>
    <row r="14" spans="1:12" ht="15.75" customHeight="1" x14ac:dyDescent="0.2">
      <c r="A14" t="s">
        <v>114</v>
      </c>
      <c r="B14" t="s">
        <v>115</v>
      </c>
      <c r="C14" s="77">
        <f t="shared" si="2"/>
        <v>4</v>
      </c>
      <c r="D14" s="21">
        <f>VLOOKUP($B14,'Humanitarian Insight'!$B:$N,9,FALSE)</f>
        <v>98416155</v>
      </c>
      <c r="E14" s="21">
        <f>VLOOKUP($B14,'Humanitarian Insight'!$B$2:$N$35,2,FALSE)</f>
        <v>114317607</v>
      </c>
      <c r="F14" s="21">
        <f>VLOOKUP($B14,'Humanitarian Insight'!$B$2:$N$35,4,FALSE)</f>
        <v>2410898</v>
      </c>
      <c r="G14" s="21">
        <f>VLOOKUP($B14,'Humanitarian Insight'!$B$2:$N$35,11,FALSE)</f>
        <v>5200000</v>
      </c>
      <c r="H14" s="21">
        <f>VLOOKUP($B14,'Humanitarian Insight'!$B$2:$N$35,12,FALSE)</f>
        <v>7080519</v>
      </c>
      <c r="I14" s="21">
        <f>VLOOKUP($B14,'Humanitarian Insight'!$B$2:$N$35,5,FALSE)</f>
        <v>3028872</v>
      </c>
      <c r="J14" s="103">
        <f t="shared" si="0"/>
        <v>5.2836853868147964</v>
      </c>
      <c r="K14" s="103">
        <f t="shared" si="1"/>
        <v>7.1944682252624066</v>
      </c>
      <c r="L14" s="104">
        <f t="shared" si="3"/>
        <v>12.478153612077204</v>
      </c>
    </row>
    <row r="15" spans="1:12" ht="15.75" customHeight="1" x14ac:dyDescent="0.2">
      <c r="A15" t="s">
        <v>61</v>
      </c>
      <c r="B15" t="s">
        <v>62</v>
      </c>
      <c r="C15" s="77">
        <f t="shared" si="2"/>
        <v>6.9340000000000002</v>
      </c>
      <c r="D15" s="21">
        <f>VLOOKUP($B15,'Humanitarian Insight'!$B:$N,9,FALSE)</f>
        <v>3994813508</v>
      </c>
      <c r="E15" s="21">
        <f>VLOOKUP($B15,'Humanitarian Insight'!$B$2:$N$35,2,FALSE)</f>
        <v>3335002211</v>
      </c>
      <c r="F15" s="21">
        <f>VLOOKUP($B15,'Humanitarian Insight'!$B$2:$N$35,4,FALSE)</f>
        <v>95300000</v>
      </c>
      <c r="G15" s="21">
        <f>VLOOKUP($B15,'Humanitarian Insight'!$B$2:$N$35,11,FALSE)</f>
        <v>108778468</v>
      </c>
      <c r="H15" s="21">
        <f>VLOOKUP($B15,'Humanitarian Insight'!$B$2:$N$35,12,FALSE)</f>
        <v>95511443</v>
      </c>
      <c r="I15" s="21">
        <f>VLOOKUP($B15,'Humanitarian Insight'!$B$2:$N$35,5,FALSE)</f>
        <v>73885151</v>
      </c>
      <c r="J15" s="103">
        <f t="shared" si="0"/>
        <v>2.7229923945676213</v>
      </c>
      <c r="K15" s="103">
        <f t="shared" si="1"/>
        <v>2.3908861529763308</v>
      </c>
      <c r="L15" s="104">
        <f t="shared" si="3"/>
        <v>5.1138785475439521</v>
      </c>
    </row>
    <row r="16" spans="1:12" ht="15.75" customHeight="1" x14ac:dyDescent="0.2">
      <c r="A16" t="s">
        <v>102</v>
      </c>
      <c r="B16" t="s">
        <v>103</v>
      </c>
      <c r="C16" s="77">
        <f t="shared" si="2"/>
        <v>5.4340000000000002</v>
      </c>
      <c r="D16" s="21">
        <f>VLOOKUP($B16,'Humanitarian Insight'!$B:$N,9,FALSE)</f>
        <v>126145348</v>
      </c>
      <c r="E16" s="21">
        <f>VLOOKUP($B16,'Humanitarian Insight'!$B$2:$N$35,2,FALSE)</f>
        <v>153531304</v>
      </c>
      <c r="F16" s="21">
        <f>VLOOKUP($B16,'Humanitarian Insight'!$B$2:$N$35,4,FALSE)</f>
        <v>2250000</v>
      </c>
      <c r="G16" s="21">
        <f>VLOOKUP($B16,'Humanitarian Insight'!$B$2:$N$35,11,FALSE)</f>
        <v>3700000</v>
      </c>
      <c r="H16" s="21">
        <f>VLOOKUP($B16,'Humanitarian Insight'!$B$2:$N$35,12,FALSE)</f>
        <v>5900000</v>
      </c>
      <c r="I16" s="21">
        <f>VLOOKUP($B16,'Humanitarian Insight'!$B$2:$N$35,5,FALSE)</f>
        <v>2159000</v>
      </c>
      <c r="J16" s="103">
        <f t="shared" si="0"/>
        <v>2.9331244145444031</v>
      </c>
      <c r="K16" s="103">
        <f t="shared" si="1"/>
        <v>4.6771443367059398</v>
      </c>
      <c r="L16" s="104">
        <f t="shared" si="3"/>
        <v>7.6102687512503433</v>
      </c>
    </row>
    <row r="17" spans="1:12" ht="15.75" customHeight="1" x14ac:dyDescent="0.2">
      <c r="A17" t="s">
        <v>71</v>
      </c>
      <c r="B17" t="s">
        <v>72</v>
      </c>
      <c r="C17" s="77">
        <f t="shared" si="2"/>
        <v>7.3179999999999996</v>
      </c>
      <c r="D17" s="21">
        <f>VLOOKUP($B17,'Humanitarian Insight'!$B:$N,9,FALSE)</f>
        <v>719857713</v>
      </c>
      <c r="E17" s="21">
        <f>VLOOKUP($B17,'Humanitarian Insight'!$B$2:$N$35,2,FALSE)</f>
        <v>373165734</v>
      </c>
      <c r="F17" s="21">
        <f>VLOOKUP($B17,'Humanitarian Insight'!$B$2:$N$35,4,FALSE)</f>
        <v>5800000</v>
      </c>
      <c r="G17" s="21">
        <f>VLOOKUP($B17,'Humanitarian Insight'!$B$2:$N$35,11,FALSE)</f>
        <v>12084610</v>
      </c>
      <c r="H17" s="21">
        <f>VLOOKUP($B17,'Humanitarian Insight'!$B$2:$N$35,12,FALSE)</f>
        <v>20100000</v>
      </c>
      <c r="I17" s="21">
        <f>VLOOKUP($B17,'Humanitarian Insight'!$B$2:$N$35,5,FALSE)</f>
        <v>11214665</v>
      </c>
      <c r="J17" s="103">
        <f t="shared" si="0"/>
        <v>1.6787498114922608</v>
      </c>
      <c r="K17" s="103">
        <f t="shared" si="1"/>
        <v>2.7922184672070047</v>
      </c>
      <c r="L17" s="104">
        <f t="shared" si="3"/>
        <v>4.4709682786992655</v>
      </c>
    </row>
    <row r="18" spans="1:12" ht="15.75" customHeight="1" x14ac:dyDescent="0.2">
      <c r="A18" t="s">
        <v>108</v>
      </c>
      <c r="B18" t="s">
        <v>109</v>
      </c>
      <c r="C18" s="77">
        <f t="shared" si="2"/>
        <v>4</v>
      </c>
      <c r="D18" s="21">
        <f>VLOOKUP($B18,'Humanitarian Insight'!$B:$N,9,FALSE)</f>
        <v>280360869</v>
      </c>
      <c r="E18" s="21">
        <f>VLOOKUP($B18,'Humanitarian Insight'!$B$2:$N$35,2,FALSE)</f>
        <v>155296363</v>
      </c>
      <c r="F18" s="21">
        <f>VLOOKUP($B18,'Humanitarian Insight'!$B$2:$N$35,4,FALSE)</f>
        <v>5404448</v>
      </c>
      <c r="G18" s="21">
        <f>VLOOKUP($B18,'Humanitarian Insight'!$B$2:$N$35,11,FALSE)</f>
        <v>13380000</v>
      </c>
      <c r="H18" s="21">
        <f>VLOOKUP($B18,'Humanitarian Insight'!$B$2:$N$35,12,FALSE)</f>
        <v>15000000</v>
      </c>
      <c r="I18" s="21">
        <f>VLOOKUP($B18,'Humanitarian Insight'!$B$2:$N$35,5,FALSE)</f>
        <v>6914207</v>
      </c>
      <c r="J18" s="103">
        <f t="shared" si="0"/>
        <v>4.7724206476189801</v>
      </c>
      <c r="K18" s="103">
        <f t="shared" si="1"/>
        <v>5.3502473628015466</v>
      </c>
      <c r="L18" s="104">
        <f t="shared" si="3"/>
        <v>10.122668010420526</v>
      </c>
    </row>
    <row r="19" spans="1:12" ht="15.75" customHeight="1" x14ac:dyDescent="0.2">
      <c r="A19" t="s">
        <v>110</v>
      </c>
      <c r="B19" t="s">
        <v>111</v>
      </c>
      <c r="C19" s="77">
        <f t="shared" si="2"/>
        <v>4</v>
      </c>
      <c r="D19" s="21">
        <f>VLOOKUP($B19,'Humanitarian Insight'!$B:$N,9,FALSE)</f>
        <v>0</v>
      </c>
      <c r="E19" s="21">
        <f>VLOOKUP($B19,'Humanitarian Insight'!$B$2:$N$35,2,FALSE)</f>
        <v>400004347</v>
      </c>
      <c r="F19" s="21">
        <f>VLOOKUP($B19,'Humanitarian Insight'!$B$2:$N$35,4,FALSE)</f>
        <v>36217553</v>
      </c>
      <c r="G19" s="21">
        <f>VLOOKUP($B19,'Humanitarian Insight'!$B$2:$N$35,11,FALSE)</f>
        <v>0</v>
      </c>
      <c r="H19" s="21">
        <f>VLOOKUP($B19,'Humanitarian Insight'!$B$2:$N$35,12,FALSE)</f>
        <v>0</v>
      </c>
      <c r="I19" s="21">
        <f>VLOOKUP($B19,'Humanitarian Insight'!$B$2:$N$35,5,FALSE)</f>
        <v>30057079</v>
      </c>
      <c r="J19" s="103">
        <f t="shared" si="0"/>
        <v>9.0542898525050273</v>
      </c>
      <c r="K19" s="103">
        <f t="shared" si="1"/>
        <v>7.5141880895609372</v>
      </c>
      <c r="L19" s="104">
        <f t="shared" si="3"/>
        <v>16.568477942065964</v>
      </c>
    </row>
    <row r="20" spans="1:12" ht="15.75" customHeight="1" x14ac:dyDescent="0.2">
      <c r="A20" t="s">
        <v>86</v>
      </c>
      <c r="B20" t="s">
        <v>87</v>
      </c>
      <c r="C20" s="77">
        <f t="shared" ref="C20" si="4">IF(L20&gt;$L$3,4,10-((PERCENTRANK($L$2:$L$3,L20)*6)))</f>
        <v>5.26</v>
      </c>
      <c r="D20" s="21">
        <f>VLOOKUP($B20,'Humanitarian Insight'!$B:$N,9,FALSE)</f>
        <v>451825224</v>
      </c>
      <c r="E20" s="21">
        <f>VLOOKUP($B20,'Humanitarian Insight'!$B$2:$N$35,2,FALSE)</f>
        <v>289641587</v>
      </c>
      <c r="F20" s="21">
        <f>VLOOKUP($B20,'Humanitarian Insight'!$B$2:$N$35,4,FALSE)</f>
        <v>2830260</v>
      </c>
      <c r="G20" s="21">
        <f>VLOOKUP($B20,'Humanitarian Insight'!$B$2:$N$35,11,FALSE)</f>
        <v>17437996</v>
      </c>
      <c r="H20" s="21">
        <f>VLOOKUP($B20,'Humanitarian Insight'!$B$2:$N$35,12,FALSE)</f>
        <v>18284000</v>
      </c>
      <c r="I20" s="21">
        <f>VLOOKUP($B20,'Humanitarian Insight'!$B$2:$N$35,5,FALSE)</f>
        <v>11192775</v>
      </c>
      <c r="J20" s="103">
        <f t="shared" ref="J20" si="5">IF(G20&gt;0,((G20/D20)*100),((F20/E20)*100))</f>
        <v>3.8594560625946817</v>
      </c>
      <c r="K20" s="103">
        <f t="shared" ref="K20" si="6">IF(H20&gt;0,(H20/D20)*100,(I20/E20)*100)</f>
        <v>4.0466974902667232</v>
      </c>
      <c r="L20" s="104">
        <f t="shared" ref="L20" si="7">J20+K20</f>
        <v>7.9061535528614044</v>
      </c>
    </row>
    <row r="21" spans="1:12" ht="15.75" customHeight="1" x14ac:dyDescent="0.2">
      <c r="A21" t="s">
        <v>112</v>
      </c>
      <c r="B21" t="s">
        <v>113</v>
      </c>
      <c r="C21" s="77">
        <f t="shared" si="2"/>
        <v>4</v>
      </c>
      <c r="D21" s="21">
        <f>VLOOKUP($B21,'Humanitarian Insight'!$B:$N,9,FALSE)</f>
        <v>200203540</v>
      </c>
      <c r="E21" s="21">
        <f>VLOOKUP($B21,'Humanitarian Insight'!$B$2:$N$35,2,FALSE)</f>
        <v>378175867</v>
      </c>
      <c r="F21" s="21">
        <f>VLOOKUP($B21,'Humanitarian Insight'!$B$2:$N$35,4,FALSE)</f>
        <v>25132022</v>
      </c>
      <c r="G21" s="21">
        <f>VLOOKUP($B21,'Humanitarian Insight'!$B$2:$N$35,11,FALSE)</f>
        <v>13447207</v>
      </c>
      <c r="H21" s="21">
        <f>VLOOKUP($B21,'Humanitarian Insight'!$B$2:$N$35,12,FALSE)</f>
        <v>24618263</v>
      </c>
      <c r="I21" s="21">
        <f>VLOOKUP($B21,'Humanitarian Insight'!$B$2:$N$35,5,FALSE)</f>
        <v>21432922</v>
      </c>
      <c r="J21" s="103">
        <f t="shared" si="0"/>
        <v>6.7167678453637736</v>
      </c>
      <c r="K21" s="103">
        <f t="shared" si="1"/>
        <v>12.29661723264234</v>
      </c>
      <c r="L21" s="104">
        <f t="shared" si="3"/>
        <v>19.013385078006113</v>
      </c>
    </row>
    <row r="22" spans="1:12" ht="15.75" customHeight="1" x14ac:dyDescent="0.2">
      <c r="A22" t="s">
        <v>84</v>
      </c>
      <c r="B22" t="s">
        <v>85</v>
      </c>
      <c r="C22" s="77">
        <f t="shared" si="2"/>
        <v>6.952</v>
      </c>
      <c r="D22" s="21">
        <f>VLOOKUP($B22,'Humanitarian Insight'!$B:$N,9,FALSE)</f>
        <v>37731860</v>
      </c>
      <c r="E22" s="21">
        <f>VLOOKUP($B22,'Humanitarian Insight'!$B$2:$N$35,2,FALSE)</f>
        <v>113799273</v>
      </c>
      <c r="F22" s="21">
        <f>VLOOKUP($B22,'Humanitarian Insight'!$B$2:$N$35,4,FALSE)</f>
        <v>3357239</v>
      </c>
      <c r="G22" s="21">
        <f>VLOOKUP($B22,'Humanitarian Insight'!$B$2:$N$35,11,FALSE)</f>
        <v>360000</v>
      </c>
      <c r="H22" s="21">
        <f>VLOOKUP($B22,'Humanitarian Insight'!$B$2:$N$35,12,FALSE)</f>
        <v>1560000</v>
      </c>
      <c r="I22" s="21">
        <f>VLOOKUP($B22,'Humanitarian Insight'!$B$2:$N$35,5,FALSE)</f>
        <v>3484625</v>
      </c>
      <c r="J22" s="103">
        <f t="shared" si="0"/>
        <v>0.9541008580016993</v>
      </c>
      <c r="K22" s="103">
        <f t="shared" si="1"/>
        <v>4.1344370513406972</v>
      </c>
      <c r="L22" s="104">
        <f t="shared" si="3"/>
        <v>5.0885379093423966</v>
      </c>
    </row>
    <row r="23" spans="1:12" ht="15.75" customHeight="1" x14ac:dyDescent="0.2">
      <c r="A23" t="s">
        <v>81</v>
      </c>
      <c r="B23" t="s">
        <v>83</v>
      </c>
      <c r="C23" s="77">
        <f t="shared" si="2"/>
        <v>9.3819999999999997</v>
      </c>
      <c r="D23" s="21">
        <f>VLOOKUP($B23,'Humanitarian Insight'!$B:$N,9,FALSE)</f>
        <v>214681354</v>
      </c>
      <c r="E23" s="21">
        <f>VLOOKUP($B23,'Humanitarian Insight'!$B$2:$N$35,2,FALSE)</f>
        <v>219267779</v>
      </c>
      <c r="F23" s="21">
        <f>VLOOKUP($B23,'Humanitarian Insight'!$B$2:$N$35,4,FALSE)</f>
        <v>950001</v>
      </c>
      <c r="G23" s="21">
        <f>VLOOKUP($B23,'Humanitarian Insight'!$B$2:$N$35,11,FALSE)</f>
        <v>1620000</v>
      </c>
      <c r="H23" s="21">
        <f>VLOOKUP($B23,'Humanitarian Insight'!$B$2:$N$35,12,FALSE)</f>
        <v>600000</v>
      </c>
      <c r="I23" s="21">
        <f>VLOOKUP($B23,'Humanitarian Insight'!$B$2:$N$35,5,FALSE)</f>
        <v>530833</v>
      </c>
      <c r="J23" s="103">
        <f t="shared" si="0"/>
        <v>0.75460675546139888</v>
      </c>
      <c r="K23" s="103">
        <f t="shared" si="1"/>
        <v>0.27948398350422182</v>
      </c>
      <c r="L23" s="104">
        <f t="shared" si="3"/>
        <v>1.0340907389656206</v>
      </c>
    </row>
    <row r="24" spans="1:12" ht="15.75" customHeight="1" x14ac:dyDescent="0.2">
      <c r="A24" t="s">
        <v>106</v>
      </c>
      <c r="B24" t="s">
        <v>107</v>
      </c>
      <c r="C24" s="77">
        <f t="shared" si="2"/>
        <v>6.7359999999999998</v>
      </c>
      <c r="D24" s="21">
        <f>VLOOKUP($B24,'Humanitarian Insight'!$B:$N,9,FALSE)</f>
        <v>115945732</v>
      </c>
      <c r="E24" s="21">
        <f>VLOOKUP($B24,'Humanitarian Insight'!$B$2:$N$35,2,FALSE)</f>
        <v>29450000</v>
      </c>
      <c r="F24" s="21">
        <f>VLOOKUP($B24,'Humanitarian Insight'!$B$2:$N$35,4,FALSE)</f>
        <v>1400000</v>
      </c>
      <c r="G24" s="21">
        <f>VLOOKUP($B24,'Humanitarian Insight'!$B$2:$N$35,11,FALSE)</f>
        <v>3658252</v>
      </c>
      <c r="H24" s="21">
        <f>VLOOKUP($B24,'Humanitarian Insight'!$B$2:$N$35,12,FALSE)</f>
        <v>2650000</v>
      </c>
      <c r="I24" s="21">
        <f>VLOOKUP($B24,'Humanitarian Insight'!$B$2:$N$35,5,FALSE)</f>
        <v>1300000</v>
      </c>
      <c r="J24" s="103">
        <f t="shared" si="0"/>
        <v>3.1551415795106625</v>
      </c>
      <c r="K24" s="103">
        <f t="shared" si="1"/>
        <v>2.2855520028973553</v>
      </c>
      <c r="L24" s="104">
        <f t="shared" si="3"/>
        <v>5.4406935824080183</v>
      </c>
    </row>
    <row r="25" spans="1:12" ht="15.75" customHeight="1" x14ac:dyDescent="0.2">
      <c r="A25" t="s">
        <v>65</v>
      </c>
      <c r="B25" t="s">
        <v>66</v>
      </c>
      <c r="C25" s="77">
        <f t="shared" si="2"/>
        <v>5.1100000000000003</v>
      </c>
      <c r="D25" s="21">
        <f>VLOOKUP($B25,'Humanitarian Insight'!$B:$N,9,FALSE)</f>
        <v>751470941</v>
      </c>
      <c r="E25" s="21">
        <f>VLOOKUP($B25,'Humanitarian Insight'!$B$2:$N$35,2,FALSE)</f>
        <v>685734819</v>
      </c>
      <c r="F25" s="21">
        <f>VLOOKUP($B25,'Humanitarian Insight'!$B$2:$N$35,4,FALSE)</f>
        <v>17711555</v>
      </c>
      <c r="G25" s="21">
        <f>VLOOKUP($B25,'Humanitarian Insight'!$B$2:$N$35,11,FALSE)</f>
        <v>22055600</v>
      </c>
      <c r="H25" s="21">
        <f>VLOOKUP($B25,'Humanitarian Insight'!$B$2:$N$35,12,FALSE)</f>
        <v>39243350</v>
      </c>
      <c r="I25" s="21">
        <f>VLOOKUP($B25,'Humanitarian Insight'!$B$2:$N$35,5,FALSE)</f>
        <v>28289657</v>
      </c>
      <c r="J25" s="103">
        <f t="shared" si="0"/>
        <v>2.9349904030420784</v>
      </c>
      <c r="K25" s="103">
        <f t="shared" si="1"/>
        <v>5.2222045935373034</v>
      </c>
      <c r="L25" s="104">
        <f t="shared" si="3"/>
        <v>8.1571949965793813</v>
      </c>
    </row>
    <row r="26" spans="1:12" ht="15.75" customHeight="1" x14ac:dyDescent="0.2">
      <c r="A26" t="s">
        <v>100</v>
      </c>
      <c r="B26" t="s">
        <v>101</v>
      </c>
      <c r="C26" s="77">
        <f t="shared" si="2"/>
        <v>5.5540000000000003</v>
      </c>
      <c r="D26" s="21">
        <f>VLOOKUP($B26,'Humanitarian Insight'!$B:$N,9,FALSE)</f>
        <v>512912994</v>
      </c>
      <c r="E26" s="21">
        <f>VLOOKUP($B26,'Humanitarian Insight'!$B$2:$N$35,2,FALSE)</f>
        <v>388499803</v>
      </c>
      <c r="F26" s="21">
        <f>VLOOKUP($B26,'Humanitarian Insight'!$B$2:$N$35,4,FALSE)</f>
        <v>10870840</v>
      </c>
      <c r="G26" s="21">
        <f>VLOOKUP($B26,'Humanitarian Insight'!$B$2:$N$35,11,FALSE)</f>
        <v>19000000</v>
      </c>
      <c r="H26" s="21">
        <f>VLOOKUP($B26,'Humanitarian Insight'!$B$2:$N$35,12,FALSE)</f>
        <v>19009000</v>
      </c>
      <c r="I26" s="21">
        <f>VLOOKUP($B26,'Humanitarian Insight'!$B$2:$N$35,5,FALSE)</f>
        <v>18046938</v>
      </c>
      <c r="J26" s="103">
        <f t="shared" si="0"/>
        <v>3.7043319670704227</v>
      </c>
      <c r="K26" s="103">
        <f t="shared" si="1"/>
        <v>3.7060866506337717</v>
      </c>
      <c r="L26" s="104">
        <f t="shared" si="3"/>
        <v>7.4104186177041944</v>
      </c>
    </row>
    <row r="27" spans="1:12" ht="15.75" customHeight="1" x14ac:dyDescent="0.2">
      <c r="A27" t="s">
        <v>69</v>
      </c>
      <c r="B27" t="s">
        <v>70</v>
      </c>
      <c r="C27" s="77">
        <f t="shared" si="2"/>
        <v>6.07</v>
      </c>
      <c r="D27" s="21">
        <f>VLOOKUP($B27,'Humanitarian Insight'!$B:$N,9,FALSE)</f>
        <v>886738899</v>
      </c>
      <c r="E27" s="21">
        <f>VLOOKUP($B27,'Humanitarian Insight'!$B$2:$N$35,2,FALSE)</f>
        <v>825698032</v>
      </c>
      <c r="F27" s="21">
        <f>VLOOKUP($B27,'Humanitarian Insight'!$B$2:$N$35,4,FALSE)</f>
        <v>33000000</v>
      </c>
      <c r="G27" s="21">
        <f>VLOOKUP($B27,'Humanitarian Insight'!$B$2:$N$35,11,FALSE)</f>
        <v>35579411</v>
      </c>
      <c r="H27" s="21">
        <f>VLOOKUP($B27,'Humanitarian Insight'!$B$2:$N$35,12,FALSE)</f>
        <v>22586371</v>
      </c>
      <c r="I27" s="21">
        <f>VLOOKUP($B27,'Humanitarian Insight'!$B$2:$N$35,5,FALSE)</f>
        <v>15000000</v>
      </c>
      <c r="J27" s="103">
        <f t="shared" si="0"/>
        <v>4.0123886569230116</v>
      </c>
      <c r="K27" s="103">
        <f t="shared" si="1"/>
        <v>2.5471275733444507</v>
      </c>
      <c r="L27" s="104">
        <f t="shared" si="3"/>
        <v>6.5595162302674623</v>
      </c>
    </row>
    <row r="28" spans="1:12" ht="15.75" customHeight="1" x14ac:dyDescent="0.2">
      <c r="A28" t="s">
        <v>90</v>
      </c>
      <c r="B28" t="s">
        <v>91</v>
      </c>
      <c r="C28" s="77">
        <f t="shared" si="2"/>
        <v>4.54</v>
      </c>
      <c r="D28" s="21">
        <f>VLOOKUP($B28,'Humanitarian Insight'!$B:$N,9,FALSE)</f>
        <v>583906619</v>
      </c>
      <c r="E28" s="21">
        <f>VLOOKUP($B28,'Humanitarian Insight'!$B$2:$N$35,2,FALSE)</f>
        <v>552598446</v>
      </c>
      <c r="F28" s="21">
        <f>VLOOKUP($B28,'Humanitarian Insight'!$B$2:$N$35,4,FALSE)</f>
        <v>20785726</v>
      </c>
      <c r="G28" s="21">
        <f>VLOOKUP($B28,'Humanitarian Insight'!$B$2:$N$35,11,FALSE)</f>
        <v>37863617</v>
      </c>
      <c r="H28" s="21">
        <f>VLOOKUP($B28,'Humanitarian Insight'!$B$2:$N$35,12,FALSE)</f>
        <v>15312506</v>
      </c>
      <c r="I28" s="21">
        <f>VLOOKUP($B28,'Humanitarian Insight'!$B$2:$N$35,5,FALSE)</f>
        <v>9284488</v>
      </c>
      <c r="J28" s="103">
        <f t="shared" si="0"/>
        <v>6.4845329317974389</v>
      </c>
      <c r="K28" s="103">
        <f t="shared" si="1"/>
        <v>2.6224237749221335</v>
      </c>
      <c r="L28" s="104">
        <f t="shared" si="3"/>
        <v>9.106956706719572</v>
      </c>
    </row>
    <row r="29" spans="1:12" ht="15.75" customHeight="1" x14ac:dyDescent="0.2">
      <c r="A29" t="s">
        <v>79</v>
      </c>
      <c r="B29" t="s">
        <v>80</v>
      </c>
      <c r="C29" s="77">
        <f t="shared" si="2"/>
        <v>6.49</v>
      </c>
      <c r="D29" s="21">
        <f>VLOOKUP($B29,'Humanitarian Insight'!$B:$N,9,FALSE)</f>
        <v>1311953516</v>
      </c>
      <c r="E29" s="21">
        <f>VLOOKUP($B29,'Humanitarian Insight'!$B$2:$N$35,2,FALSE)</f>
        <v>1127211641</v>
      </c>
      <c r="F29" s="21">
        <f>VLOOKUP($B29,'Humanitarian Insight'!$B$2:$N$35,4,FALSE)</f>
        <v>33148363</v>
      </c>
      <c r="G29" s="21">
        <f>VLOOKUP($B29,'Humanitarian Insight'!$B$2:$N$35,11,FALSE)</f>
        <v>44865633</v>
      </c>
      <c r="H29" s="21">
        <f>VLOOKUP($B29,'Humanitarian Insight'!$B$2:$N$35,12,FALSE)</f>
        <v>31913100</v>
      </c>
      <c r="I29" s="21">
        <f>VLOOKUP($B29,'Humanitarian Insight'!$B$2:$N$35,5,FALSE)</f>
        <v>19431870</v>
      </c>
      <c r="J29" s="103">
        <f t="shared" si="0"/>
        <v>3.4197578231879979</v>
      </c>
      <c r="K29" s="103">
        <f t="shared" si="1"/>
        <v>2.4324870973553607</v>
      </c>
      <c r="L29" s="104">
        <f t="shared" si="3"/>
        <v>5.8522449205433587</v>
      </c>
    </row>
    <row r="30" spans="1:12" ht="15.75" customHeight="1" x14ac:dyDescent="0.2">
      <c r="A30" t="s">
        <v>73</v>
      </c>
      <c r="B30" t="s">
        <v>74</v>
      </c>
      <c r="C30" s="367">
        <v>2</v>
      </c>
      <c r="D30" s="21" t="e">
        <f>VLOOKUP($B30,'Humanitarian Insight'!$B:$N,9,FALSE)</f>
        <v>#N/A</v>
      </c>
      <c r="E30" s="293" t="e">
        <f>VLOOKUP($B30,'Humanitarian Insight'!$B$2:$N$35,2,FALSE)</f>
        <v>#N/A</v>
      </c>
      <c r="F30" s="293" t="e">
        <f>VLOOKUP($B30,'Humanitarian Insight'!$B$2:$N$35,4,FALSE)</f>
        <v>#N/A</v>
      </c>
      <c r="G30" s="293" t="e">
        <f>VLOOKUP($B30,'Humanitarian Insight'!$B$2:$N$35,11,FALSE)</f>
        <v>#N/A</v>
      </c>
      <c r="H30" s="293" t="e">
        <f>VLOOKUP($B30,'Humanitarian Insight'!$B$2:$N$35,12,FALSE)</f>
        <v>#N/A</v>
      </c>
      <c r="I30" s="293" t="e">
        <f>VLOOKUP($B30,'Humanitarian Insight'!$B$2:$N$35,5,FALSE)</f>
        <v>#N/A</v>
      </c>
      <c r="J30" s="103" t="e">
        <f t="shared" ref="J30" si="8">IF(G30&gt;0,((G30/D30)*100),((F30/E30)*100))</f>
        <v>#N/A</v>
      </c>
      <c r="K30" s="103" t="e">
        <f t="shared" ref="K30" si="9">IF(H30&gt;0,(H30/D30)*100,(I30/E30)*100)</f>
        <v>#N/A</v>
      </c>
      <c r="L30" s="104" t="e">
        <f t="shared" ref="L30" si="10">J30+K30</f>
        <v>#N/A</v>
      </c>
    </row>
    <row r="31" spans="1:12" ht="15.75" customHeight="1" x14ac:dyDescent="0.2">
      <c r="A31" t="s">
        <v>77</v>
      </c>
      <c r="B31" t="s">
        <v>78</v>
      </c>
      <c r="C31" s="77">
        <f t="shared" si="2"/>
        <v>8.2119999999999997</v>
      </c>
      <c r="D31" s="21">
        <f>VLOOKUP($B31,'Humanitarian Insight'!$B:$N,9,FALSE)</f>
        <v>376729201</v>
      </c>
      <c r="E31" s="21">
        <f>VLOOKUP($B31,'Humanitarian Insight'!$B$2:$N$35,2,FALSE)</f>
        <v>509872202</v>
      </c>
      <c r="F31" s="21">
        <f>VLOOKUP($B31,'Humanitarian Insight'!$B$2:$N$35,4,FALSE)</f>
        <v>7948079</v>
      </c>
      <c r="G31" s="21">
        <f>VLOOKUP($B31,'Humanitarian Insight'!$B$2:$N$35,11,FALSE)</f>
        <v>5038971</v>
      </c>
      <c r="H31" s="21">
        <f>VLOOKUP($B31,'Humanitarian Insight'!$B$2:$N$35,12,FALSE)</f>
        <v>6197626</v>
      </c>
      <c r="I31" s="21">
        <f>VLOOKUP($B31,'Humanitarian Insight'!$B$2:$N$35,5,FALSE)</f>
        <v>10159839</v>
      </c>
      <c r="J31" s="103">
        <f t="shared" si="0"/>
        <v>1.3375578496767495</v>
      </c>
      <c r="K31" s="103">
        <f t="shared" si="1"/>
        <v>1.6451143111680371</v>
      </c>
      <c r="L31" s="104">
        <f t="shared" si="3"/>
        <v>2.9826721608447864</v>
      </c>
    </row>
    <row r="32" spans="1:12" ht="15.75" customHeight="1" x14ac:dyDescent="0.2">
      <c r="A32" t="s">
        <v>57</v>
      </c>
      <c r="B32" t="s">
        <v>58</v>
      </c>
      <c r="C32" s="77">
        <f t="shared" si="2"/>
        <v>6.5380000000000003</v>
      </c>
      <c r="D32" s="21">
        <f>VLOOKUP($B32,'Humanitarian Insight'!$B:$N,9,FALSE)</f>
        <v>2599161218</v>
      </c>
      <c r="E32" s="21">
        <f>VLOOKUP($B32,'Humanitarian Insight'!$B$2:$N$35,2,FALSE)</f>
        <v>2267407090</v>
      </c>
      <c r="F32" s="21">
        <f>VLOOKUP($B32,'Humanitarian Insight'!$B$2:$N$35,4,FALSE)</f>
        <v>37367994</v>
      </c>
      <c r="G32" s="21">
        <f>VLOOKUP($B32,'Humanitarian Insight'!$B$2:$N$35,11,FALSE)</f>
        <v>78698000</v>
      </c>
      <c r="H32" s="21">
        <f>VLOOKUP($B32,'Humanitarian Insight'!$B$2:$N$35,12,FALSE)</f>
        <v>71335000</v>
      </c>
      <c r="I32" s="21">
        <f>VLOOKUP($B32,'Humanitarian Insight'!$B$2:$N$35,5,FALSE)</f>
        <v>61280711</v>
      </c>
      <c r="J32" s="103">
        <f t="shared" si="0"/>
        <v>3.0278229551515259</v>
      </c>
      <c r="K32" s="103">
        <f t="shared" si="1"/>
        <v>2.744539257741418</v>
      </c>
      <c r="L32" s="104">
        <f t="shared" si="3"/>
        <v>5.7723622128929435</v>
      </c>
    </row>
    <row r="33" spans="1:16" ht="15.75" customHeight="1" x14ac:dyDescent="0.2">
      <c r="A33" t="s">
        <v>59</v>
      </c>
      <c r="B33" t="s">
        <v>60</v>
      </c>
      <c r="C33" s="77">
        <f t="shared" si="2"/>
        <v>8.0679999999999996</v>
      </c>
      <c r="D33" s="21">
        <f>VLOOKUP($B33,'Humanitarian Insight'!$B:$N,9,FALSE)</f>
        <v>2055885216</v>
      </c>
      <c r="E33" s="21">
        <f>VLOOKUP($B33,'Humanitarian Insight'!$B$2:$N$35,2,FALSE)</f>
        <v>1699588587</v>
      </c>
      <c r="F33" s="21">
        <f>VLOOKUP($B33,'Humanitarian Insight'!$B$2:$N$35,4,FALSE)</f>
        <v>32100794</v>
      </c>
      <c r="G33" s="21">
        <f>VLOOKUP($B33,'Humanitarian Insight'!$B$2:$N$35,11,FALSE)</f>
        <v>32632000</v>
      </c>
      <c r="H33" s="21">
        <f>VLOOKUP($B33,'Humanitarian Insight'!$B$2:$N$35,12,FALSE)</f>
        <v>33636271</v>
      </c>
      <c r="I33" s="21">
        <f>VLOOKUP($B33,'Humanitarian Insight'!$B$2:$N$35,5,FALSE)</f>
        <v>32312523</v>
      </c>
      <c r="J33" s="103">
        <f t="shared" si="0"/>
        <v>1.5872481472234099</v>
      </c>
      <c r="K33" s="103">
        <f t="shared" si="1"/>
        <v>1.6360967401401849</v>
      </c>
      <c r="L33" s="104">
        <f t="shared" si="3"/>
        <v>3.223344887363595</v>
      </c>
    </row>
    <row r="34" spans="1:16" ht="15.75" customHeight="1" x14ac:dyDescent="0.2">
      <c r="A34" t="s">
        <v>53</v>
      </c>
      <c r="B34" t="s">
        <v>54</v>
      </c>
      <c r="C34" s="77">
        <f t="shared" si="2"/>
        <v>6.64</v>
      </c>
      <c r="D34" s="21">
        <f>VLOOKUP($B34,'Humanitarian Insight'!$B:$N,9,FALSE)</f>
        <v>2565230201</v>
      </c>
      <c r="E34" s="21">
        <f>VLOOKUP($B34,'Humanitarian Insight'!$B$2:$N$35,2,FALSE)</f>
        <v>1936697740</v>
      </c>
      <c r="F34" s="21">
        <f>VLOOKUP($B34,'Humanitarian Insight'!$B$2:$N$35,4,FALSE)</f>
        <v>40000000</v>
      </c>
      <c r="G34" s="21">
        <f>VLOOKUP($B34,'Humanitarian Insight'!$B$2:$N$35,11,FALSE)</f>
        <v>62775110</v>
      </c>
      <c r="H34" s="21">
        <f>VLOOKUP($B34,'Humanitarian Insight'!$B$2:$N$35,12,FALSE)</f>
        <v>81000000</v>
      </c>
      <c r="I34" s="21">
        <f>VLOOKUP($B34,'Humanitarian Insight'!$B$2:$N$35,5,FALSE)</f>
        <v>54677729</v>
      </c>
      <c r="J34" s="103">
        <f t="shared" si="0"/>
        <v>2.4471530849562146</v>
      </c>
      <c r="K34" s="103">
        <f t="shared" si="1"/>
        <v>3.1576113507639154</v>
      </c>
      <c r="L34" s="104">
        <f t="shared" si="3"/>
        <v>5.6047644357201296</v>
      </c>
    </row>
    <row r="35" spans="1:16" ht="15.75" customHeight="1" x14ac:dyDescent="0.2">
      <c r="A35" t="s">
        <v>55</v>
      </c>
      <c r="B35" t="s">
        <v>56</v>
      </c>
      <c r="C35" s="77">
        <f t="shared" si="2"/>
        <v>7.7859999999999996</v>
      </c>
      <c r="D35" s="21">
        <f>VLOOKUP($B35,'Humanitarian Insight'!$B:$N,9,FALSE)</f>
        <v>5413802598</v>
      </c>
      <c r="E35" s="21">
        <f>VLOOKUP($B35,'Humanitarian Insight'!$B$2:$N$35,2,FALSE)</f>
        <v>4444280227</v>
      </c>
      <c r="F35" s="21">
        <f>VLOOKUP($B35,'Humanitarian Insight'!$B$2:$N$35,4,FALSE)</f>
        <v>84440766</v>
      </c>
      <c r="G35" s="21">
        <f>VLOOKUP($B35,'Humanitarian Insight'!$B$2:$N$35,11,FALSE)</f>
        <v>103940187</v>
      </c>
      <c r="H35" s="21">
        <f>VLOOKUP($B35,'Humanitarian Insight'!$B$2:$N$35,12,FALSE)</f>
        <v>95966984</v>
      </c>
      <c r="I35" s="21">
        <f>VLOOKUP($B35,'Humanitarian Insight'!$B$2:$N$35,5,FALSE)</f>
        <v>84314516</v>
      </c>
      <c r="J35" s="103">
        <f t="shared" si="0"/>
        <v>1.9199109150820945</v>
      </c>
      <c r="K35" s="103">
        <f t="shared" si="1"/>
        <v>1.7726354491656697</v>
      </c>
      <c r="L35" s="104">
        <f t="shared" si="3"/>
        <v>3.6925463642477645</v>
      </c>
    </row>
    <row r="36" spans="1:16" ht="15.75" customHeight="1" x14ac:dyDescent="0.2">
      <c r="A36" t="s">
        <v>94</v>
      </c>
      <c r="B36" t="s">
        <v>95</v>
      </c>
      <c r="C36" s="77">
        <f t="shared" si="2"/>
        <v>6.508</v>
      </c>
      <c r="D36" s="21">
        <f>VLOOKUP($B36,'Humanitarian Insight'!$B:$N,9,FALSE)</f>
        <v>3945656687</v>
      </c>
      <c r="E36" s="21">
        <f>VLOOKUP($B36,'Humanitarian Insight'!$B$2:$N$35,2,FALSE)</f>
        <v>0</v>
      </c>
      <c r="F36" s="21">
        <f>VLOOKUP($B36,'Humanitarian Insight'!$B$2:$N$35,4,FALSE)</f>
        <v>0</v>
      </c>
      <c r="G36" s="21">
        <f>VLOOKUP($B36,'Humanitarian Insight'!$B$2:$N$35,11,FALSE)</f>
        <v>64865366</v>
      </c>
      <c r="H36" s="21">
        <f>VLOOKUP($B36,'Humanitarian Insight'!$B$2:$N$35,12,FALSE)</f>
        <v>165124275</v>
      </c>
      <c r="I36" s="21">
        <f>VLOOKUP($B36,'Humanitarian Insight'!$B$2:$N$35,5,FALSE)</f>
        <v>0</v>
      </c>
      <c r="J36" s="103">
        <f t="shared" si="0"/>
        <v>1.6439688281475666</v>
      </c>
      <c r="K36" s="103">
        <f t="shared" si="1"/>
        <v>4.1849630644258839</v>
      </c>
      <c r="L36" s="104">
        <f t="shared" si="3"/>
        <v>5.8289318925734506</v>
      </c>
    </row>
    <row r="37" spans="1:16" s="17" customFormat="1" ht="15.75" customHeight="1" x14ac:dyDescent="0.2">
      <c r="A37" s="17" t="s">
        <v>96</v>
      </c>
      <c r="B37" s="17" t="s">
        <v>97</v>
      </c>
      <c r="C37" s="77">
        <f t="shared" si="2"/>
        <v>4.3540000000000001</v>
      </c>
      <c r="D37" s="21">
        <f>VLOOKUP($B37,'Humanitarian Insight'!$B:$N,9,FALSE)</f>
        <v>719581691</v>
      </c>
      <c r="E37" s="21">
        <f>VLOOKUP($B37,'Humanitarian Insight'!$B$2:$N$35,2,FALSE)</f>
        <v>794987748</v>
      </c>
      <c r="F37" s="21">
        <f>VLOOKUP($B37,'Humanitarian Insight'!$B$2:$N$35,4,FALSE)</f>
        <v>29285399</v>
      </c>
      <c r="G37" s="21">
        <f>VLOOKUP($B37,'Humanitarian Insight'!$B$2:$N$35,11,FALSE)</f>
        <v>36551048</v>
      </c>
      <c r="H37" s="21">
        <f>VLOOKUP($B37,'Humanitarian Insight'!$B$2:$N$35,12,FALSE)</f>
        <v>31214915</v>
      </c>
      <c r="I37" s="21">
        <f>VLOOKUP($B37,'Humanitarian Insight'!$B$2:$N$35,5,FALSE)</f>
        <v>24894050</v>
      </c>
      <c r="J37" s="103">
        <f t="shared" si="0"/>
        <v>5.0794855479445493</v>
      </c>
      <c r="K37" s="103">
        <f t="shared" si="1"/>
        <v>4.3379251293373997</v>
      </c>
      <c r="L37" s="104">
        <f t="shared" si="3"/>
        <v>9.4174106772819499</v>
      </c>
    </row>
    <row r="38" spans="1:16" s="17" customFormat="1" ht="15.75" customHeight="1" x14ac:dyDescent="0.2">
      <c r="A38" s="17" t="s">
        <v>51</v>
      </c>
      <c r="B38" s="17" t="s">
        <v>52</v>
      </c>
      <c r="C38" s="77">
        <f t="shared" si="2"/>
        <v>8.4879999999999995</v>
      </c>
      <c r="D38" s="21">
        <f>VLOOKUP($B38,'Humanitarian Insight'!$B:$N,9,FALSE)</f>
        <v>4344155316</v>
      </c>
      <c r="E38" s="21">
        <f>VLOOKUP($B38,'Humanitarian Insight'!$B$2:$N$35,2,FALSE)</f>
        <v>4271938417</v>
      </c>
      <c r="F38" s="21">
        <f>VLOOKUP($B38,'Humanitarian Insight'!$B$2:$N$35,4,FALSE)</f>
        <v>61400000</v>
      </c>
      <c r="G38" s="21">
        <f>VLOOKUP($B38,'Humanitarian Insight'!$B$2:$N$35,11,FALSE)</f>
        <v>60263454</v>
      </c>
      <c r="H38" s="21">
        <f>VLOOKUP($B38,'Humanitarian Insight'!$B$2:$N$35,12,FALSE)</f>
        <v>49573560</v>
      </c>
      <c r="I38" s="21">
        <f>VLOOKUP($B38,'Humanitarian Insight'!$B$2:$N$35,5,FALSE)</f>
        <v>51500000</v>
      </c>
      <c r="J38" s="103">
        <f t="shared" si="0"/>
        <v>1.3872306493748761</v>
      </c>
      <c r="K38" s="103">
        <f t="shared" si="1"/>
        <v>1.1411553315650376</v>
      </c>
      <c r="L38" s="104">
        <f t="shared" si="3"/>
        <v>2.5283859809399134</v>
      </c>
    </row>
    <row r="39" spans="1:16" s="17" customFormat="1" ht="15.75" customHeight="1" x14ac:dyDescent="0.2">
      <c r="D39" s="27"/>
      <c r="E39" s="27"/>
      <c r="F39" s="27"/>
      <c r="G39" s="27"/>
      <c r="H39" s="27"/>
      <c r="I39" s="27"/>
      <c r="J39" s="27"/>
      <c r="K39" s="27"/>
      <c r="L39" s="27"/>
      <c r="M39" s="27"/>
      <c r="N39" s="27"/>
      <c r="O39" s="27"/>
      <c r="P39" s="27"/>
    </row>
    <row r="40" spans="1:16" s="17" customFormat="1" ht="16" x14ac:dyDescent="0.2">
      <c r="C40" s="28"/>
      <c r="D40" s="27"/>
      <c r="E40" s="27"/>
      <c r="F40" s="27"/>
      <c r="G40" s="27"/>
      <c r="H40" s="27"/>
      <c r="I40" s="27"/>
      <c r="J40" s="27"/>
      <c r="K40" s="27"/>
      <c r="M40" s="27"/>
      <c r="N40" s="27"/>
      <c r="O40" s="27"/>
      <c r="P40" s="27"/>
    </row>
    <row r="41" spans="1:16" ht="15.75" customHeight="1" x14ac:dyDescent="0.2"/>
    <row r="42" spans="1:16" ht="15.75" customHeight="1" x14ac:dyDescent="0.2"/>
    <row r="43" spans="1:16" ht="15.75" customHeight="1" x14ac:dyDescent="0.2"/>
    <row r="44" spans="1:16" ht="15.75" customHeight="1" x14ac:dyDescent="0.2"/>
    <row r="45" spans="1:16" ht="15.75" customHeight="1" x14ac:dyDescent="0.2"/>
    <row r="46" spans="1:16" ht="15.75" customHeight="1" x14ac:dyDescent="0.2"/>
    <row r="47" spans="1:16" ht="15.75" customHeight="1" x14ac:dyDescent="0.2"/>
    <row r="48" spans="1: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sheet="1" objects="1" scenarios="1"/>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4D72-C10F-45E1-B1CF-93F61561D918}">
  <sheetPr>
    <tabColor rgb="FFD9E1F2"/>
  </sheetPr>
  <dimension ref="A1:H942"/>
  <sheetViews>
    <sheetView showGridLines="0" topLeftCell="A2" workbookViewId="0">
      <selection activeCell="E19" sqref="E19"/>
    </sheetView>
  </sheetViews>
  <sheetFormatPr baseColWidth="10" defaultColWidth="11.1640625" defaultRowHeight="15" customHeight="1" x14ac:dyDescent="0.2"/>
  <cols>
    <col min="1" max="1" width="11.6640625" bestFit="1" customWidth="1"/>
    <col min="2" max="2" width="5.5" bestFit="1" customWidth="1"/>
    <col min="3" max="3" width="9.33203125" customWidth="1"/>
    <col min="4" max="4" width="5.1640625" style="19" bestFit="1" customWidth="1"/>
    <col min="5" max="5" width="10.1640625" style="19" bestFit="1" customWidth="1"/>
    <col min="6" max="6" width="5.83203125" style="19" bestFit="1" customWidth="1"/>
    <col min="7" max="7" width="6.5" style="19" bestFit="1" customWidth="1"/>
    <col min="8" max="8" width="10.5" style="231" customWidth="1"/>
    <col min="9" max="15" width="10.5" customWidth="1"/>
  </cols>
  <sheetData>
    <row r="1" spans="1:8" ht="15.75" customHeight="1" x14ac:dyDescent="0.2"/>
    <row r="2" spans="1:8" ht="15.75" customHeight="1" x14ac:dyDescent="0.2">
      <c r="A2" s="13"/>
      <c r="B2" s="14" t="s">
        <v>121</v>
      </c>
      <c r="C2" s="111"/>
      <c r="D2" s="13"/>
      <c r="E2" s="14"/>
      <c r="F2" s="13"/>
      <c r="G2" s="13"/>
      <c r="H2" s="243">
        <v>1</v>
      </c>
    </row>
    <row r="3" spans="1:8" ht="15.75" customHeight="1" x14ac:dyDescent="0.2">
      <c r="A3" s="13"/>
      <c r="B3" s="14" t="s">
        <v>123</v>
      </c>
      <c r="C3" s="111"/>
      <c r="D3" s="13"/>
      <c r="E3" s="14"/>
      <c r="F3" s="13"/>
      <c r="G3" s="13"/>
      <c r="H3" s="243">
        <v>8</v>
      </c>
    </row>
    <row r="4" spans="1:8" ht="15.75" customHeight="1" x14ac:dyDescent="0.2">
      <c r="A4" s="15" t="s">
        <v>124</v>
      </c>
      <c r="B4" s="16" t="s">
        <v>47</v>
      </c>
      <c r="C4" s="112" t="s">
        <v>768</v>
      </c>
      <c r="D4" s="108" t="s">
        <v>130</v>
      </c>
      <c r="E4" s="108" t="s">
        <v>769</v>
      </c>
      <c r="F4" s="108" t="s">
        <v>131</v>
      </c>
      <c r="G4" s="109" t="s">
        <v>155</v>
      </c>
      <c r="H4" s="244" t="s">
        <v>155</v>
      </c>
    </row>
    <row r="5" spans="1:8" ht="15.75" customHeight="1" x14ac:dyDescent="0.2">
      <c r="A5" s="127" t="s">
        <v>48</v>
      </c>
      <c r="B5" s="127" t="s">
        <v>50</v>
      </c>
      <c r="C5" s="113">
        <v>4.9428571428571431</v>
      </c>
      <c r="D5" s="128"/>
      <c r="E5" s="128"/>
      <c r="F5" s="128"/>
      <c r="G5" s="110"/>
      <c r="H5" s="245"/>
    </row>
    <row r="6" spans="1:8" ht="15.75" customHeight="1" x14ac:dyDescent="0.2">
      <c r="A6" s="127" t="s">
        <v>133</v>
      </c>
      <c r="B6" s="127" t="s">
        <v>134</v>
      </c>
      <c r="C6" s="113">
        <v>5.6656716417910449</v>
      </c>
      <c r="D6" s="128"/>
      <c r="E6" s="128"/>
      <c r="F6" s="128"/>
      <c r="G6" s="110"/>
      <c r="H6" s="245"/>
    </row>
    <row r="7" spans="1:8" ht="15.75" customHeight="1" x14ac:dyDescent="0.2">
      <c r="A7" s="127" t="s">
        <v>98</v>
      </c>
      <c r="B7" s="127" t="s">
        <v>99</v>
      </c>
      <c r="C7" s="113">
        <v>4.8</v>
      </c>
      <c r="D7" s="128"/>
      <c r="E7" s="128"/>
      <c r="F7" s="128"/>
      <c r="G7" s="110"/>
      <c r="H7" s="245"/>
    </row>
    <row r="8" spans="1:8" ht="15.75" customHeight="1" x14ac:dyDescent="0.2">
      <c r="A8" s="127" t="s">
        <v>88</v>
      </c>
      <c r="B8" s="127" t="s">
        <v>89</v>
      </c>
      <c r="C8" s="113">
        <v>4.9428571428571431</v>
      </c>
      <c r="D8" s="128"/>
      <c r="E8" s="128"/>
      <c r="F8" s="128"/>
      <c r="G8" s="110"/>
      <c r="H8" s="245"/>
    </row>
    <row r="9" spans="1:8" ht="15.75" customHeight="1" x14ac:dyDescent="0.2">
      <c r="A9" s="127" t="s">
        <v>92</v>
      </c>
      <c r="B9" s="127" t="s">
        <v>93</v>
      </c>
      <c r="C9" s="113">
        <v>5.2</v>
      </c>
      <c r="D9" s="128"/>
      <c r="E9" s="128"/>
      <c r="F9" s="128"/>
      <c r="G9" s="110"/>
      <c r="H9" s="245"/>
    </row>
    <row r="10" spans="1:8" ht="15.75" customHeight="1" x14ac:dyDescent="0.2">
      <c r="A10" s="127" t="s">
        <v>75</v>
      </c>
      <c r="B10" s="127" t="s">
        <v>76</v>
      </c>
      <c r="C10" s="113">
        <v>6.5200000000000005</v>
      </c>
      <c r="D10" s="128"/>
      <c r="E10" s="128"/>
      <c r="F10" s="128"/>
      <c r="G10" s="110"/>
      <c r="H10" s="245"/>
    </row>
    <row r="11" spans="1:8" ht="15.75" customHeight="1" x14ac:dyDescent="0.2">
      <c r="A11" s="127" t="s">
        <v>67</v>
      </c>
      <c r="B11" s="127" t="s">
        <v>68</v>
      </c>
      <c r="C11" s="113">
        <v>6.3000000000000007</v>
      </c>
      <c r="D11" s="128"/>
      <c r="E11" s="128"/>
      <c r="F11" s="128"/>
      <c r="G11" s="110"/>
      <c r="H11" s="245"/>
    </row>
    <row r="12" spans="1:8" ht="15.75" customHeight="1" x14ac:dyDescent="0.2">
      <c r="A12" s="127" t="s">
        <v>104</v>
      </c>
      <c r="B12" s="127" t="s">
        <v>105</v>
      </c>
      <c r="C12" s="113">
        <v>5.5272727272727273</v>
      </c>
      <c r="D12" s="128"/>
      <c r="E12" s="128"/>
      <c r="F12" s="128"/>
      <c r="G12" s="110"/>
      <c r="H12" s="245"/>
    </row>
    <row r="13" spans="1:8" ht="15.75" customHeight="1" x14ac:dyDescent="0.2">
      <c r="A13" s="127" t="s">
        <v>63</v>
      </c>
      <c r="B13" s="127" t="s">
        <v>64</v>
      </c>
      <c r="C13" s="113">
        <v>8.4546762589928051</v>
      </c>
      <c r="D13" s="128"/>
      <c r="E13" s="128"/>
      <c r="F13" s="128"/>
      <c r="G13" s="110"/>
      <c r="H13" s="245"/>
    </row>
    <row r="14" spans="1:8" ht="15.75" customHeight="1" x14ac:dyDescent="0.2">
      <c r="A14" s="127" t="s">
        <v>114</v>
      </c>
      <c r="B14" s="127" t="s">
        <v>115</v>
      </c>
      <c r="C14" s="113">
        <v>4</v>
      </c>
      <c r="D14" s="128"/>
      <c r="E14" s="128"/>
      <c r="F14" s="128"/>
      <c r="G14" s="110"/>
      <c r="H14" s="245"/>
    </row>
    <row r="15" spans="1:8" ht="15.75" customHeight="1" x14ac:dyDescent="0.2">
      <c r="A15" s="127" t="s">
        <v>61</v>
      </c>
      <c r="B15" s="127" t="s">
        <v>62</v>
      </c>
      <c r="C15" s="113">
        <v>4.45</v>
      </c>
      <c r="D15" s="128"/>
      <c r="E15" s="128"/>
      <c r="F15" s="128"/>
      <c r="G15" s="110"/>
      <c r="H15" s="245"/>
    </row>
    <row r="16" spans="1:8" ht="15.75" customHeight="1" x14ac:dyDescent="0.2">
      <c r="A16" s="127" t="s">
        <v>102</v>
      </c>
      <c r="B16" s="127" t="s">
        <v>103</v>
      </c>
      <c r="C16" s="113">
        <v>4.8</v>
      </c>
      <c r="D16" s="128"/>
      <c r="E16" s="128"/>
      <c r="F16" s="128"/>
      <c r="G16" s="110"/>
      <c r="H16" s="245"/>
    </row>
    <row r="17" spans="1:8" ht="15.75" customHeight="1" x14ac:dyDescent="0.2">
      <c r="A17" s="127" t="s">
        <v>71</v>
      </c>
      <c r="B17" s="127" t="s">
        <v>72</v>
      </c>
      <c r="C17" s="113">
        <v>9.6571428571428566</v>
      </c>
      <c r="D17" s="128"/>
      <c r="E17" s="128"/>
      <c r="F17" s="128"/>
      <c r="G17" s="110"/>
      <c r="H17" s="245"/>
    </row>
    <row r="18" spans="1:8" ht="15.75" customHeight="1" x14ac:dyDescent="0.2">
      <c r="A18" s="127" t="s">
        <v>108</v>
      </c>
      <c r="B18" s="127" t="s">
        <v>109</v>
      </c>
      <c r="C18" s="113">
        <v>8.8000000000000007</v>
      </c>
      <c r="D18" s="129"/>
      <c r="E18" s="129"/>
      <c r="F18" s="129"/>
      <c r="G18" s="110"/>
      <c r="H18" s="245"/>
    </row>
    <row r="19" spans="1:8" ht="15.75" customHeight="1" x14ac:dyDescent="0.2">
      <c r="A19" s="127" t="s">
        <v>110</v>
      </c>
      <c r="B19" s="127" t="s">
        <v>111</v>
      </c>
      <c r="C19" s="113">
        <v>5.1773584905660375</v>
      </c>
      <c r="D19" s="128"/>
      <c r="E19" s="128"/>
      <c r="F19" s="128"/>
      <c r="G19" s="110"/>
      <c r="H19" s="245"/>
    </row>
    <row r="20" spans="1:8" ht="15.75" customHeight="1" x14ac:dyDescent="0.2">
      <c r="A20" s="127" t="s">
        <v>86</v>
      </c>
      <c r="B20" s="127" t="s">
        <v>87</v>
      </c>
      <c r="C20" s="113">
        <v>4.5647058823529409</v>
      </c>
      <c r="D20" s="128"/>
      <c r="E20" s="128"/>
      <c r="F20" s="128"/>
      <c r="G20" s="110"/>
      <c r="H20" s="245"/>
    </row>
    <row r="21" spans="1:8" ht="15.75" customHeight="1" x14ac:dyDescent="0.2">
      <c r="A21" s="127" t="s">
        <v>112</v>
      </c>
      <c r="B21" s="127" t="s">
        <v>113</v>
      </c>
      <c r="C21" s="113">
        <v>5.2489795918367346</v>
      </c>
      <c r="D21" s="128"/>
      <c r="E21" s="128"/>
      <c r="F21" s="128"/>
      <c r="G21" s="110"/>
      <c r="H21" s="245"/>
    </row>
    <row r="22" spans="1:8" ht="15.75" customHeight="1" x14ac:dyDescent="0.2">
      <c r="A22" s="127" t="s">
        <v>84</v>
      </c>
      <c r="B22" s="127" t="s">
        <v>85</v>
      </c>
      <c r="C22" s="113">
        <v>4.8</v>
      </c>
      <c r="D22" s="128"/>
      <c r="E22" s="128"/>
      <c r="F22" s="128"/>
      <c r="G22" s="110"/>
      <c r="H22" s="245"/>
    </row>
    <row r="23" spans="1:8" ht="15.75" customHeight="1" x14ac:dyDescent="0.2">
      <c r="A23" s="127" t="s">
        <v>81</v>
      </c>
      <c r="B23" s="127" t="s">
        <v>83</v>
      </c>
      <c r="C23" s="113">
        <v>6.8</v>
      </c>
      <c r="D23" s="128"/>
      <c r="E23" s="128"/>
      <c r="F23" s="128"/>
      <c r="G23" s="110"/>
      <c r="H23" s="245"/>
    </row>
    <row r="24" spans="1:8" ht="15.75" customHeight="1" x14ac:dyDescent="0.2">
      <c r="A24" s="127" t="s">
        <v>106</v>
      </c>
      <c r="B24" s="127" t="s">
        <v>107</v>
      </c>
      <c r="C24" s="113">
        <v>5.5272727272727273</v>
      </c>
      <c r="D24" s="130"/>
      <c r="E24" s="130"/>
      <c r="F24" s="130"/>
      <c r="G24" s="110"/>
      <c r="H24" s="245"/>
    </row>
    <row r="25" spans="1:8" ht="15.75" customHeight="1" x14ac:dyDescent="0.2">
      <c r="A25" s="127" t="s">
        <v>65</v>
      </c>
      <c r="B25" s="127" t="s">
        <v>66</v>
      </c>
      <c r="C25" s="113">
        <v>6.2285714285714278</v>
      </c>
      <c r="D25" s="128"/>
      <c r="E25" s="128"/>
      <c r="F25" s="128"/>
      <c r="G25" s="110"/>
      <c r="H25" s="245"/>
    </row>
    <row r="26" spans="1:8" ht="15.75" customHeight="1" x14ac:dyDescent="0.2">
      <c r="A26" s="127" t="s">
        <v>100</v>
      </c>
      <c r="B26" s="127" t="s">
        <v>101</v>
      </c>
      <c r="C26" s="113">
        <v>4.3384615384615381</v>
      </c>
      <c r="D26" s="128"/>
      <c r="E26" s="128"/>
      <c r="F26" s="128"/>
      <c r="G26" s="110"/>
      <c r="H26" s="245"/>
    </row>
    <row r="27" spans="1:8" ht="15.75" customHeight="1" x14ac:dyDescent="0.2">
      <c r="A27" s="127" t="s">
        <v>69</v>
      </c>
      <c r="B27" s="127" t="s">
        <v>70</v>
      </c>
      <c r="C27" s="113">
        <v>4.6461538461538465</v>
      </c>
      <c r="D27" s="128"/>
      <c r="E27" s="128"/>
      <c r="F27" s="128"/>
      <c r="G27" s="110"/>
      <c r="H27" s="245"/>
    </row>
    <row r="28" spans="1:8" ht="15.75" customHeight="1" x14ac:dyDescent="0.2">
      <c r="A28" s="127" t="s">
        <v>90</v>
      </c>
      <c r="B28" s="127" t="s">
        <v>91</v>
      </c>
      <c r="C28" s="113">
        <v>4</v>
      </c>
      <c r="D28" s="128"/>
      <c r="E28" s="128"/>
      <c r="F28" s="128"/>
      <c r="G28" s="110"/>
      <c r="H28" s="245"/>
    </row>
    <row r="29" spans="1:8" ht="15.75" customHeight="1" x14ac:dyDescent="0.2">
      <c r="A29" s="127" t="s">
        <v>79</v>
      </c>
      <c r="B29" s="127" t="s">
        <v>80</v>
      </c>
      <c r="C29" s="113">
        <v>5.0702702702702709</v>
      </c>
      <c r="D29" s="128"/>
      <c r="E29" s="128"/>
      <c r="F29" s="128"/>
      <c r="G29" s="110"/>
      <c r="H29" s="245"/>
    </row>
    <row r="30" spans="1:8" ht="15.75" customHeight="1" x14ac:dyDescent="0.2">
      <c r="A30" s="127" t="s">
        <v>73</v>
      </c>
      <c r="B30" s="127" t="s">
        <v>74</v>
      </c>
      <c r="C30" s="113">
        <v>5.0222222222222221</v>
      </c>
      <c r="D30" s="128"/>
      <c r="E30" s="128"/>
      <c r="F30" s="128"/>
      <c r="G30" s="110"/>
      <c r="H30" s="245"/>
    </row>
    <row r="31" spans="1:8" ht="15.75" customHeight="1" x14ac:dyDescent="0.2">
      <c r="A31" s="127" t="s">
        <v>77</v>
      </c>
      <c r="B31" s="127" t="s">
        <v>78</v>
      </c>
      <c r="C31" s="113">
        <v>4.0307692307692307</v>
      </c>
      <c r="D31" s="128"/>
      <c r="E31" s="128"/>
      <c r="F31" s="128"/>
      <c r="G31" s="110"/>
      <c r="H31" s="245"/>
    </row>
    <row r="32" spans="1:8" ht="15.75" customHeight="1" x14ac:dyDescent="0.2">
      <c r="A32" s="127" t="s">
        <v>57</v>
      </c>
      <c r="B32" s="127" t="s">
        <v>58</v>
      </c>
      <c r="C32" s="113">
        <v>5.68</v>
      </c>
      <c r="D32" s="128"/>
      <c r="E32" s="128"/>
      <c r="F32" s="128"/>
      <c r="G32" s="110"/>
      <c r="H32" s="245"/>
    </row>
    <row r="33" spans="1:8" ht="15.75" customHeight="1" x14ac:dyDescent="0.2">
      <c r="A33" s="127" t="s">
        <v>59</v>
      </c>
      <c r="B33" s="127" t="s">
        <v>60</v>
      </c>
      <c r="C33" s="113">
        <v>5.4086956521739129</v>
      </c>
      <c r="D33" s="128"/>
      <c r="E33" s="128"/>
      <c r="F33" s="128"/>
      <c r="G33" s="110"/>
      <c r="H33" s="245"/>
    </row>
    <row r="34" spans="1:8" ht="15.75" customHeight="1" x14ac:dyDescent="0.2">
      <c r="A34" s="127" t="s">
        <v>53</v>
      </c>
      <c r="B34" s="127" t="s">
        <v>54</v>
      </c>
      <c r="C34" s="113">
        <v>4</v>
      </c>
      <c r="D34" s="128"/>
      <c r="E34" s="128"/>
      <c r="F34" s="128"/>
      <c r="G34" s="110"/>
      <c r="H34" s="245"/>
    </row>
    <row r="35" spans="1:8" ht="15.75" customHeight="1" x14ac:dyDescent="0.2">
      <c r="A35" s="127" t="s">
        <v>55</v>
      </c>
      <c r="B35" s="127" t="s">
        <v>56</v>
      </c>
      <c r="C35" s="113">
        <v>4.45</v>
      </c>
      <c r="D35" s="128"/>
      <c r="E35" s="128"/>
      <c r="F35" s="128"/>
      <c r="G35" s="110"/>
      <c r="H35" s="245"/>
    </row>
    <row r="36" spans="1:8" ht="15.75" customHeight="1" x14ac:dyDescent="0.2">
      <c r="A36" s="127" t="s">
        <v>94</v>
      </c>
      <c r="B36" s="127" t="s">
        <v>95</v>
      </c>
      <c r="C36" s="334">
        <v>8.9</v>
      </c>
      <c r="D36" s="128"/>
      <c r="E36" s="128"/>
      <c r="F36" s="128"/>
      <c r="G36" s="110"/>
      <c r="H36" s="245"/>
    </row>
    <row r="37" spans="1:8" ht="15.75" customHeight="1" x14ac:dyDescent="0.2">
      <c r="A37" s="127" t="s">
        <v>96</v>
      </c>
      <c r="B37" s="127" t="s">
        <v>97</v>
      </c>
      <c r="C37" s="113">
        <v>4</v>
      </c>
      <c r="D37" s="128"/>
      <c r="E37" s="128"/>
      <c r="F37" s="128"/>
      <c r="G37" s="110"/>
      <c r="H37" s="245"/>
    </row>
    <row r="38" spans="1:8" ht="15.75" customHeight="1" x14ac:dyDescent="0.2">
      <c r="A38" s="127" t="s">
        <v>51</v>
      </c>
      <c r="B38" s="127" t="s">
        <v>52</v>
      </c>
      <c r="C38" s="113">
        <v>6.4363636363636365</v>
      </c>
      <c r="D38" s="128"/>
      <c r="E38" s="128"/>
      <c r="F38" s="128"/>
      <c r="G38" s="110"/>
      <c r="H38" s="245"/>
    </row>
    <row r="39" spans="1:8" ht="15.75" customHeight="1" x14ac:dyDescent="0.2"/>
    <row r="40" spans="1:8" ht="15.75" customHeight="1" x14ac:dyDescent="0.2">
      <c r="A40" s="22" t="s">
        <v>720</v>
      </c>
    </row>
    <row r="41" spans="1:8" ht="15.75" customHeight="1" x14ac:dyDescent="0.2">
      <c r="A41" s="126" t="s">
        <v>721</v>
      </c>
    </row>
    <row r="42" spans="1:8" ht="15.75" customHeight="1" x14ac:dyDescent="0.2">
      <c r="A42" s="126" t="s">
        <v>722</v>
      </c>
    </row>
    <row r="43" spans="1:8" ht="15.75" customHeight="1" x14ac:dyDescent="0.2">
      <c r="A43" s="22"/>
    </row>
    <row r="44" spans="1:8" ht="15.75" customHeight="1" x14ac:dyDescent="0.2">
      <c r="A44" t="s">
        <v>770</v>
      </c>
    </row>
    <row r="45" spans="1:8" ht="15.75" customHeight="1" x14ac:dyDescent="0.2">
      <c r="A45" t="s">
        <v>771</v>
      </c>
    </row>
    <row r="46" spans="1:8" ht="15.75" customHeight="1" x14ac:dyDescent="0.2">
      <c r="A46" t="s">
        <v>772</v>
      </c>
    </row>
    <row r="47" spans="1:8" ht="15.75" customHeight="1" x14ac:dyDescent="0.2"/>
    <row r="48" spans="1: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sheetData>
  <sheetProtection sheet="1" objects="1" scenarios="1"/>
  <autoFilter ref="A4:G38" xr:uid="{AECA4D72-C10F-45E1-B1CF-93F61561D918}">
    <sortState xmlns:xlrd2="http://schemas.microsoft.com/office/spreadsheetml/2017/richdata2" ref="A5:G38">
      <sortCondition ref="A4:A38"/>
    </sortState>
  </autoFilter>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9DB2-1332-4E29-B9F2-90956BFBE9F1}">
  <sheetPr>
    <tabColor rgb="FFD9E1F2"/>
  </sheetPr>
  <dimension ref="A1:I941"/>
  <sheetViews>
    <sheetView showGridLines="0" workbookViewId="0">
      <selection activeCell="E9" sqref="E9"/>
    </sheetView>
  </sheetViews>
  <sheetFormatPr baseColWidth="10" defaultColWidth="11.1640625" defaultRowHeight="15" customHeight="1" x14ac:dyDescent="0.2"/>
  <cols>
    <col min="1" max="1" width="11.6640625" bestFit="1" customWidth="1"/>
    <col min="2" max="2" width="5.5" bestFit="1" customWidth="1"/>
    <col min="3" max="3" width="8" customWidth="1"/>
    <col min="4" max="6" width="14.5" style="19" customWidth="1"/>
    <col min="7" max="8" width="8.33203125" style="19" customWidth="1"/>
    <col min="9" max="11" width="10.5" customWidth="1"/>
  </cols>
  <sheetData>
    <row r="1" spans="1:9" ht="79.5" customHeight="1" x14ac:dyDescent="0.2">
      <c r="B1" s="19"/>
      <c r="C1" s="19"/>
      <c r="D1" s="115" t="s">
        <v>773</v>
      </c>
      <c r="E1" s="115" t="s">
        <v>774</v>
      </c>
      <c r="F1" s="115" t="s">
        <v>775</v>
      </c>
    </row>
    <row r="2" spans="1:9" ht="15.75" customHeight="1" x14ac:dyDescent="0.2">
      <c r="A2" s="13"/>
      <c r="B2" s="14" t="s">
        <v>121</v>
      </c>
      <c r="C2" s="111"/>
      <c r="D2" s="13"/>
      <c r="E2" s="14"/>
      <c r="F2" s="13"/>
      <c r="G2" s="13"/>
    </row>
    <row r="3" spans="1:9" ht="15.75" customHeight="1" x14ac:dyDescent="0.2">
      <c r="A3" s="13"/>
      <c r="B3" s="14" t="s">
        <v>123</v>
      </c>
      <c r="C3" s="111"/>
      <c r="D3" s="13"/>
      <c r="E3" s="14"/>
      <c r="F3" s="13"/>
      <c r="G3" s="13"/>
    </row>
    <row r="4" spans="1:9" ht="15.75" customHeight="1" x14ac:dyDescent="0.2">
      <c r="A4" s="15" t="s">
        <v>124</v>
      </c>
      <c r="B4" s="16" t="s">
        <v>47</v>
      </c>
      <c r="C4" s="112" t="s">
        <v>125</v>
      </c>
      <c r="D4" s="108" t="s">
        <v>128</v>
      </c>
      <c r="E4" s="108" t="s">
        <v>128</v>
      </c>
      <c r="F4" s="108" t="s">
        <v>128</v>
      </c>
      <c r="G4" s="109" t="s">
        <v>155</v>
      </c>
    </row>
    <row r="5" spans="1:9" ht="15.75" customHeight="1" x14ac:dyDescent="0.2">
      <c r="A5" t="s">
        <v>48</v>
      </c>
      <c r="B5" t="s">
        <v>50</v>
      </c>
      <c r="C5" s="113">
        <f t="shared" ref="C5:C38" si="0">IF(4+(6-(G5*2))&gt;9.9,9.9,4+(6-(G5*2)))</f>
        <v>6.9</v>
      </c>
      <c r="D5">
        <v>0.8</v>
      </c>
      <c r="E5">
        <v>0.75</v>
      </c>
      <c r="F5" s="20">
        <v>0</v>
      </c>
      <c r="G5" s="116">
        <f>D5+E5+F5</f>
        <v>1.55</v>
      </c>
      <c r="I5" s="242"/>
    </row>
    <row r="6" spans="1:9" ht="15.75" customHeight="1" x14ac:dyDescent="0.2">
      <c r="A6" t="s">
        <v>133</v>
      </c>
      <c r="B6" t="s">
        <v>134</v>
      </c>
      <c r="C6" s="113">
        <f t="shared" si="0"/>
        <v>6.4</v>
      </c>
      <c r="D6">
        <v>0.8</v>
      </c>
      <c r="E6">
        <v>1</v>
      </c>
      <c r="F6">
        <v>0</v>
      </c>
      <c r="G6" s="116">
        <f t="shared" ref="G6:G38" si="1">D6+E6+F6</f>
        <v>1.8</v>
      </c>
      <c r="I6" s="242"/>
    </row>
    <row r="7" spans="1:9" ht="15.75" customHeight="1" x14ac:dyDescent="0.2">
      <c r="A7" t="s">
        <v>98</v>
      </c>
      <c r="B7" t="s">
        <v>99</v>
      </c>
      <c r="C7" s="113">
        <f t="shared" si="0"/>
        <v>6.4</v>
      </c>
      <c r="D7" s="20">
        <v>0.8</v>
      </c>
      <c r="E7" s="20">
        <v>1</v>
      </c>
      <c r="F7" s="20">
        <v>0</v>
      </c>
      <c r="G7" s="116">
        <f>D7+E7+F7</f>
        <v>1.8</v>
      </c>
      <c r="I7" s="242"/>
    </row>
    <row r="8" spans="1:9" ht="15.75" customHeight="1" x14ac:dyDescent="0.2">
      <c r="A8" t="s">
        <v>88</v>
      </c>
      <c r="B8" t="s">
        <v>89</v>
      </c>
      <c r="C8" s="113">
        <f t="shared" si="0"/>
        <v>8.8000000000000007</v>
      </c>
      <c r="D8">
        <v>0.6</v>
      </c>
      <c r="E8">
        <v>0</v>
      </c>
      <c r="F8">
        <v>0</v>
      </c>
      <c r="G8" s="116">
        <f>D8+E8+F8</f>
        <v>0.6</v>
      </c>
      <c r="I8" s="242"/>
    </row>
    <row r="9" spans="1:9" ht="15.75" customHeight="1" x14ac:dyDescent="0.2">
      <c r="A9" t="s">
        <v>92</v>
      </c>
      <c r="B9" t="s">
        <v>93</v>
      </c>
      <c r="C9" s="113">
        <f t="shared" si="0"/>
        <v>6.4</v>
      </c>
      <c r="D9" s="20">
        <v>0.8</v>
      </c>
      <c r="E9">
        <v>1</v>
      </c>
      <c r="F9">
        <v>0</v>
      </c>
      <c r="G9" s="116">
        <f t="shared" si="1"/>
        <v>1.8</v>
      </c>
      <c r="I9" s="242"/>
    </row>
    <row r="10" spans="1:9" ht="15.75" customHeight="1" x14ac:dyDescent="0.2">
      <c r="A10" t="s">
        <v>75</v>
      </c>
      <c r="B10" t="s">
        <v>76</v>
      </c>
      <c r="C10" s="113">
        <f t="shared" si="0"/>
        <v>4.4000000000000004</v>
      </c>
      <c r="D10" s="20">
        <v>0.8</v>
      </c>
      <c r="E10">
        <v>1</v>
      </c>
      <c r="F10">
        <v>1</v>
      </c>
      <c r="G10" s="116">
        <f t="shared" si="1"/>
        <v>2.8</v>
      </c>
      <c r="I10" s="242"/>
    </row>
    <row r="11" spans="1:9" ht="15.75" customHeight="1" x14ac:dyDescent="0.2">
      <c r="A11" t="s">
        <v>67</v>
      </c>
      <c r="B11" t="s">
        <v>68</v>
      </c>
      <c r="C11" s="113">
        <f t="shared" si="0"/>
        <v>6.4</v>
      </c>
      <c r="D11" s="20">
        <v>0.8</v>
      </c>
      <c r="E11" s="20">
        <v>1</v>
      </c>
      <c r="F11" s="20">
        <v>0</v>
      </c>
      <c r="G11" s="116">
        <f t="shared" si="1"/>
        <v>1.8</v>
      </c>
      <c r="I11" s="242"/>
    </row>
    <row r="12" spans="1:9" ht="15.75" customHeight="1" x14ac:dyDescent="0.2">
      <c r="A12" t="s">
        <v>104</v>
      </c>
      <c r="B12" t="s">
        <v>105</v>
      </c>
      <c r="C12" s="113">
        <f t="shared" si="0"/>
        <v>6.4</v>
      </c>
      <c r="D12" s="20">
        <v>0.8</v>
      </c>
      <c r="E12">
        <v>1</v>
      </c>
      <c r="F12">
        <v>0</v>
      </c>
      <c r="G12" s="116">
        <f t="shared" si="1"/>
        <v>1.8</v>
      </c>
      <c r="I12" s="242"/>
    </row>
    <row r="13" spans="1:9" ht="15.75" customHeight="1" x14ac:dyDescent="0.2">
      <c r="A13" t="s">
        <v>63</v>
      </c>
      <c r="B13" t="s">
        <v>64</v>
      </c>
      <c r="C13" s="113">
        <f t="shared" si="0"/>
        <v>5.3</v>
      </c>
      <c r="D13">
        <v>0.6</v>
      </c>
      <c r="E13">
        <v>0.75</v>
      </c>
      <c r="F13">
        <v>1</v>
      </c>
      <c r="G13" s="116">
        <f t="shared" si="1"/>
        <v>2.35</v>
      </c>
      <c r="I13" s="242"/>
    </row>
    <row r="14" spans="1:9" ht="15.75" customHeight="1" x14ac:dyDescent="0.2">
      <c r="A14" t="s">
        <v>114</v>
      </c>
      <c r="B14" t="s">
        <v>115</v>
      </c>
      <c r="C14" s="113">
        <f t="shared" si="0"/>
        <v>9.1999999999999993</v>
      </c>
      <c r="D14">
        <v>0.4</v>
      </c>
      <c r="E14">
        <v>0</v>
      </c>
      <c r="F14">
        <v>0</v>
      </c>
      <c r="G14" s="116">
        <f t="shared" si="1"/>
        <v>0.4</v>
      </c>
      <c r="I14" s="242"/>
    </row>
    <row r="15" spans="1:9" ht="15.75" customHeight="1" x14ac:dyDescent="0.2">
      <c r="A15" t="s">
        <v>61</v>
      </c>
      <c r="B15" t="s">
        <v>62</v>
      </c>
      <c r="C15" s="113">
        <f t="shared" si="0"/>
        <v>4.5</v>
      </c>
      <c r="D15">
        <v>1</v>
      </c>
      <c r="E15">
        <v>0.75</v>
      </c>
      <c r="F15">
        <v>1</v>
      </c>
      <c r="G15" s="116">
        <f t="shared" si="1"/>
        <v>2.75</v>
      </c>
      <c r="I15" s="242"/>
    </row>
    <row r="16" spans="1:9" ht="15.75" customHeight="1" x14ac:dyDescent="0.2">
      <c r="A16" t="s">
        <v>102</v>
      </c>
      <c r="B16" t="s">
        <v>103</v>
      </c>
      <c r="C16" s="113">
        <f t="shared" si="0"/>
        <v>6.9</v>
      </c>
      <c r="D16" s="20">
        <v>0.8</v>
      </c>
      <c r="E16">
        <v>0.75</v>
      </c>
      <c r="F16">
        <v>0</v>
      </c>
      <c r="G16" s="116">
        <f t="shared" si="1"/>
        <v>1.55</v>
      </c>
      <c r="I16" s="242"/>
    </row>
    <row r="17" spans="1:9" ht="15.75" customHeight="1" x14ac:dyDescent="0.2">
      <c r="A17" t="s">
        <v>71</v>
      </c>
      <c r="B17" t="s">
        <v>72</v>
      </c>
      <c r="C17" s="113">
        <f t="shared" si="0"/>
        <v>6.8</v>
      </c>
      <c r="D17">
        <v>0.6</v>
      </c>
      <c r="E17">
        <v>0</v>
      </c>
      <c r="F17">
        <v>1</v>
      </c>
      <c r="G17" s="116">
        <f t="shared" si="1"/>
        <v>1.6</v>
      </c>
      <c r="I17" s="242"/>
    </row>
    <row r="18" spans="1:9" ht="15.75" customHeight="1" x14ac:dyDescent="0.2">
      <c r="A18" t="s">
        <v>108</v>
      </c>
      <c r="B18" t="s">
        <v>109</v>
      </c>
      <c r="C18" s="113">
        <f t="shared" si="0"/>
        <v>9.9</v>
      </c>
      <c r="D18" s="20">
        <v>0</v>
      </c>
      <c r="E18" s="20">
        <v>0</v>
      </c>
      <c r="F18" s="20">
        <v>0</v>
      </c>
      <c r="G18" s="116">
        <f t="shared" si="1"/>
        <v>0</v>
      </c>
      <c r="I18" s="242"/>
    </row>
    <row r="19" spans="1:9" ht="15.75" customHeight="1" x14ac:dyDescent="0.2">
      <c r="A19" t="s">
        <v>110</v>
      </c>
      <c r="B19" t="s">
        <v>111</v>
      </c>
      <c r="C19" s="113">
        <f t="shared" si="0"/>
        <v>4</v>
      </c>
      <c r="D19">
        <v>1</v>
      </c>
      <c r="E19">
        <v>1</v>
      </c>
      <c r="F19">
        <v>1</v>
      </c>
      <c r="G19" s="116">
        <f t="shared" si="1"/>
        <v>3</v>
      </c>
      <c r="I19" s="242"/>
    </row>
    <row r="20" spans="1:9" ht="15.75" customHeight="1" x14ac:dyDescent="0.2">
      <c r="A20" t="s">
        <v>86</v>
      </c>
      <c r="B20" t="s">
        <v>87</v>
      </c>
      <c r="C20" s="113">
        <f t="shared" si="0"/>
        <v>5.8</v>
      </c>
      <c r="D20">
        <v>0.6</v>
      </c>
      <c r="E20">
        <v>0.5</v>
      </c>
      <c r="F20">
        <v>1</v>
      </c>
      <c r="G20" s="116">
        <f t="shared" si="1"/>
        <v>2.1</v>
      </c>
      <c r="I20" s="242"/>
    </row>
    <row r="21" spans="1:9" ht="15.75" customHeight="1" x14ac:dyDescent="0.2">
      <c r="A21" t="s">
        <v>112</v>
      </c>
      <c r="B21" t="s">
        <v>113</v>
      </c>
      <c r="C21" s="113">
        <f t="shared" si="0"/>
        <v>5.6</v>
      </c>
      <c r="D21">
        <v>0.2</v>
      </c>
      <c r="E21">
        <v>1</v>
      </c>
      <c r="F21">
        <v>1</v>
      </c>
      <c r="G21" s="116">
        <f t="shared" si="1"/>
        <v>2.2000000000000002</v>
      </c>
      <c r="I21" s="242"/>
    </row>
    <row r="22" spans="1:9" ht="15.75" customHeight="1" x14ac:dyDescent="0.2">
      <c r="A22" t="s">
        <v>84</v>
      </c>
      <c r="B22" t="s">
        <v>85</v>
      </c>
      <c r="C22" s="113">
        <f t="shared" si="0"/>
        <v>8.4</v>
      </c>
      <c r="D22">
        <v>0.8</v>
      </c>
      <c r="E22">
        <v>0</v>
      </c>
      <c r="F22">
        <v>0</v>
      </c>
      <c r="G22" s="116">
        <f t="shared" si="1"/>
        <v>0.8</v>
      </c>
      <c r="I22" s="242"/>
    </row>
    <row r="23" spans="1:9" ht="15.75" customHeight="1" x14ac:dyDescent="0.2">
      <c r="A23" t="s">
        <v>81</v>
      </c>
      <c r="B23" t="s">
        <v>83</v>
      </c>
      <c r="C23" s="113">
        <f t="shared" si="0"/>
        <v>8.4</v>
      </c>
      <c r="D23" s="20">
        <v>0.8</v>
      </c>
      <c r="E23">
        <v>0</v>
      </c>
      <c r="F23">
        <v>0</v>
      </c>
      <c r="G23" s="116">
        <f t="shared" si="1"/>
        <v>0.8</v>
      </c>
      <c r="I23" s="242"/>
    </row>
    <row r="24" spans="1:9" ht="15.75" customHeight="1" x14ac:dyDescent="0.2">
      <c r="A24" t="s">
        <v>106</v>
      </c>
      <c r="B24" t="s">
        <v>107</v>
      </c>
      <c r="C24" s="113">
        <f t="shared" si="0"/>
        <v>9.9</v>
      </c>
      <c r="D24">
        <v>0</v>
      </c>
      <c r="E24">
        <v>0</v>
      </c>
      <c r="F24">
        <v>0</v>
      </c>
      <c r="G24" s="116">
        <f t="shared" si="1"/>
        <v>0</v>
      </c>
      <c r="I24" s="242"/>
    </row>
    <row r="25" spans="1:9" ht="15.75" customHeight="1" x14ac:dyDescent="0.2">
      <c r="A25" t="s">
        <v>65</v>
      </c>
      <c r="B25" t="s">
        <v>66</v>
      </c>
      <c r="C25" s="113">
        <f t="shared" si="0"/>
        <v>5.6</v>
      </c>
      <c r="D25">
        <v>0.2</v>
      </c>
      <c r="E25">
        <v>1</v>
      </c>
      <c r="F25">
        <v>1</v>
      </c>
      <c r="G25" s="116">
        <f t="shared" si="1"/>
        <v>2.2000000000000002</v>
      </c>
      <c r="I25" s="242"/>
    </row>
    <row r="26" spans="1:9" ht="15.75" customHeight="1" x14ac:dyDescent="0.2">
      <c r="A26" t="s">
        <v>100</v>
      </c>
      <c r="B26" t="s">
        <v>101</v>
      </c>
      <c r="C26" s="113">
        <f t="shared" si="0"/>
        <v>5.4</v>
      </c>
      <c r="D26" s="20">
        <v>0.8</v>
      </c>
      <c r="E26">
        <v>0.5</v>
      </c>
      <c r="F26">
        <v>1</v>
      </c>
      <c r="G26" s="116">
        <f t="shared" si="1"/>
        <v>2.2999999999999998</v>
      </c>
      <c r="I26" s="242"/>
    </row>
    <row r="27" spans="1:9" ht="15.75" customHeight="1" x14ac:dyDescent="0.2">
      <c r="A27" t="s">
        <v>69</v>
      </c>
      <c r="B27" t="s">
        <v>70</v>
      </c>
      <c r="C27" s="113">
        <f t="shared" si="0"/>
        <v>4.4000000000000004</v>
      </c>
      <c r="D27" s="20">
        <v>0.8</v>
      </c>
      <c r="E27">
        <v>1</v>
      </c>
      <c r="F27">
        <v>1</v>
      </c>
      <c r="G27" s="116">
        <f t="shared" si="1"/>
        <v>2.8</v>
      </c>
      <c r="I27" s="242"/>
    </row>
    <row r="28" spans="1:9" ht="15.75" customHeight="1" x14ac:dyDescent="0.2">
      <c r="A28" t="s">
        <v>90</v>
      </c>
      <c r="B28" t="s">
        <v>91</v>
      </c>
      <c r="C28" s="113">
        <f t="shared" si="0"/>
        <v>4.4000000000000004</v>
      </c>
      <c r="D28" s="20">
        <v>0.8</v>
      </c>
      <c r="E28">
        <v>1</v>
      </c>
      <c r="F28">
        <v>1</v>
      </c>
      <c r="G28" s="116">
        <f t="shared" si="1"/>
        <v>2.8</v>
      </c>
      <c r="I28" s="242"/>
    </row>
    <row r="29" spans="1:9" ht="15.75" customHeight="1" x14ac:dyDescent="0.2">
      <c r="A29" t="s">
        <v>79</v>
      </c>
      <c r="B29" t="s">
        <v>80</v>
      </c>
      <c r="C29" s="113">
        <f t="shared" si="0"/>
        <v>6.1</v>
      </c>
      <c r="D29">
        <v>0.2</v>
      </c>
      <c r="E29">
        <v>0.75</v>
      </c>
      <c r="F29">
        <v>1</v>
      </c>
      <c r="G29" s="116">
        <f t="shared" si="1"/>
        <v>1.95</v>
      </c>
      <c r="I29" s="242"/>
    </row>
    <row r="30" spans="1:9" ht="15.75" customHeight="1" x14ac:dyDescent="0.2">
      <c r="A30" t="s">
        <v>73</v>
      </c>
      <c r="B30" t="s">
        <v>74</v>
      </c>
      <c r="C30" s="113">
        <f t="shared" si="0"/>
        <v>4.5</v>
      </c>
      <c r="D30">
        <v>1</v>
      </c>
      <c r="E30">
        <v>0.75</v>
      </c>
      <c r="F30">
        <v>1</v>
      </c>
      <c r="G30" s="116">
        <f t="shared" si="1"/>
        <v>2.75</v>
      </c>
      <c r="I30" s="242"/>
    </row>
    <row r="31" spans="1:9" ht="15.75" customHeight="1" x14ac:dyDescent="0.2">
      <c r="A31" t="s">
        <v>77</v>
      </c>
      <c r="B31" t="s">
        <v>78</v>
      </c>
      <c r="C31" s="113">
        <f t="shared" si="0"/>
        <v>4</v>
      </c>
      <c r="D31">
        <v>1</v>
      </c>
      <c r="E31">
        <v>1</v>
      </c>
      <c r="F31">
        <v>1</v>
      </c>
      <c r="G31" s="116">
        <f t="shared" si="1"/>
        <v>3</v>
      </c>
      <c r="I31" s="242"/>
    </row>
    <row r="32" spans="1:9" ht="15.75" customHeight="1" x14ac:dyDescent="0.2">
      <c r="A32" t="s">
        <v>57</v>
      </c>
      <c r="B32" t="s">
        <v>58</v>
      </c>
      <c r="C32" s="113">
        <f t="shared" si="0"/>
        <v>6</v>
      </c>
      <c r="D32">
        <v>1</v>
      </c>
      <c r="E32" s="20">
        <v>0</v>
      </c>
      <c r="F32">
        <v>1</v>
      </c>
      <c r="G32" s="116">
        <f t="shared" si="1"/>
        <v>2</v>
      </c>
      <c r="I32" s="242"/>
    </row>
    <row r="33" spans="1:9" ht="15.75" customHeight="1" x14ac:dyDescent="0.2">
      <c r="A33" t="s">
        <v>59</v>
      </c>
      <c r="B33" t="s">
        <v>60</v>
      </c>
      <c r="C33" s="113">
        <f t="shared" si="0"/>
        <v>6.4</v>
      </c>
      <c r="D33" s="20">
        <v>0.8</v>
      </c>
      <c r="E33">
        <v>1</v>
      </c>
      <c r="F33" s="20">
        <v>0</v>
      </c>
      <c r="G33" s="116">
        <f t="shared" si="1"/>
        <v>1.8</v>
      </c>
      <c r="I33" s="242"/>
    </row>
    <row r="34" spans="1:9" ht="15.75" customHeight="1" x14ac:dyDescent="0.2">
      <c r="A34" t="s">
        <v>53</v>
      </c>
      <c r="B34" t="s">
        <v>54</v>
      </c>
      <c r="C34" s="113">
        <f t="shared" si="0"/>
        <v>5.6</v>
      </c>
      <c r="D34" s="20">
        <v>0.2</v>
      </c>
      <c r="E34">
        <v>1</v>
      </c>
      <c r="F34">
        <v>1</v>
      </c>
      <c r="G34" s="116">
        <f t="shared" si="1"/>
        <v>2.2000000000000002</v>
      </c>
      <c r="I34" s="242"/>
    </row>
    <row r="35" spans="1:9" ht="15.75" customHeight="1" x14ac:dyDescent="0.2">
      <c r="A35" t="s">
        <v>55</v>
      </c>
      <c r="B35" t="s">
        <v>56</v>
      </c>
      <c r="C35" s="113">
        <f t="shared" si="0"/>
        <v>4.8</v>
      </c>
      <c r="D35">
        <v>0.6</v>
      </c>
      <c r="E35">
        <v>1</v>
      </c>
      <c r="F35">
        <v>1</v>
      </c>
      <c r="G35" s="116">
        <f t="shared" si="1"/>
        <v>2.6</v>
      </c>
      <c r="I35" s="242"/>
    </row>
    <row r="36" spans="1:9" ht="15.75" customHeight="1" x14ac:dyDescent="0.2">
      <c r="A36" t="s">
        <v>94</v>
      </c>
      <c r="B36" t="s">
        <v>95</v>
      </c>
      <c r="C36" s="113">
        <f t="shared" si="0"/>
        <v>4.8</v>
      </c>
      <c r="D36">
        <v>0.6</v>
      </c>
      <c r="E36">
        <v>1</v>
      </c>
      <c r="F36">
        <v>1</v>
      </c>
      <c r="G36" s="116">
        <f t="shared" si="1"/>
        <v>2.6</v>
      </c>
      <c r="I36" s="242"/>
    </row>
    <row r="37" spans="1:9" ht="15.75" customHeight="1" x14ac:dyDescent="0.2">
      <c r="A37" t="s">
        <v>96</v>
      </c>
      <c r="B37" t="s">
        <v>97</v>
      </c>
      <c r="C37" s="113">
        <f t="shared" si="0"/>
        <v>6</v>
      </c>
      <c r="D37">
        <v>1</v>
      </c>
      <c r="E37">
        <v>1</v>
      </c>
      <c r="F37">
        <v>0</v>
      </c>
      <c r="G37" s="116">
        <f t="shared" si="1"/>
        <v>2</v>
      </c>
      <c r="I37" s="242"/>
    </row>
    <row r="38" spans="1:9" ht="15.75" customHeight="1" x14ac:dyDescent="0.2">
      <c r="A38" t="s">
        <v>51</v>
      </c>
      <c r="B38" t="s">
        <v>52</v>
      </c>
      <c r="C38" s="113">
        <f t="shared" si="0"/>
        <v>7.3</v>
      </c>
      <c r="D38">
        <v>0.6</v>
      </c>
      <c r="E38">
        <v>0.75</v>
      </c>
      <c r="F38">
        <v>0</v>
      </c>
      <c r="G38" s="116">
        <f t="shared" si="1"/>
        <v>1.35</v>
      </c>
      <c r="I38" s="242"/>
    </row>
    <row r="39" spans="1:9" ht="15.75" customHeight="1" x14ac:dyDescent="0.2"/>
    <row r="40" spans="1:9" ht="15.75" customHeight="1" x14ac:dyDescent="0.2">
      <c r="I40" s="242"/>
    </row>
    <row r="41" spans="1:9" ht="15.75" customHeight="1" x14ac:dyDescent="0.2">
      <c r="A41" s="379" t="s">
        <v>1155</v>
      </c>
      <c r="B41" s="379"/>
      <c r="C41" s="379"/>
      <c r="D41" s="379"/>
      <c r="E41" s="379"/>
      <c r="F41" s="379"/>
    </row>
    <row r="42" spans="1:9" ht="15.75" customHeight="1" x14ac:dyDescent="0.2">
      <c r="A42" s="363" t="s">
        <v>1159</v>
      </c>
      <c r="B42" s="34"/>
      <c r="C42" s="34"/>
      <c r="D42"/>
      <c r="E42"/>
      <c r="G42">
        <v>1</v>
      </c>
    </row>
    <row r="43" spans="1:9" ht="15.75" customHeight="1" x14ac:dyDescent="0.2">
      <c r="A43" s="363" t="s">
        <v>1158</v>
      </c>
      <c r="D43"/>
      <c r="E43"/>
      <c r="G43">
        <v>0.8</v>
      </c>
    </row>
    <row r="44" spans="1:9" ht="15.75" customHeight="1" x14ac:dyDescent="0.2">
      <c r="A44" s="363" t="s">
        <v>1157</v>
      </c>
      <c r="D44"/>
      <c r="E44"/>
      <c r="G44">
        <v>0.6</v>
      </c>
    </row>
    <row r="45" spans="1:9" ht="15.75" customHeight="1" x14ac:dyDescent="0.2">
      <c r="A45" s="363" t="s">
        <v>1156</v>
      </c>
      <c r="D45"/>
      <c r="E45"/>
      <c r="G45">
        <v>0.4</v>
      </c>
    </row>
    <row r="46" spans="1:9" ht="15.75" customHeight="1" x14ac:dyDescent="0.2">
      <c r="D46"/>
      <c r="E46"/>
      <c r="F46"/>
    </row>
    <row r="47" spans="1:9" ht="15.75" customHeight="1" x14ac:dyDescent="0.2">
      <c r="A47" s="114" t="s">
        <v>776</v>
      </c>
      <c r="D47"/>
      <c r="E47"/>
      <c r="F47"/>
    </row>
    <row r="48" spans="1:9" ht="15.75" customHeight="1" x14ac:dyDescent="0.2">
      <c r="A48" s="378" t="s">
        <v>777</v>
      </c>
      <c r="B48" s="378"/>
      <c r="C48" s="34"/>
      <c r="D48">
        <v>1</v>
      </c>
      <c r="E48"/>
      <c r="F48"/>
    </row>
    <row r="49" spans="1:6" ht="15.75" customHeight="1" x14ac:dyDescent="0.2">
      <c r="A49" s="378" t="s">
        <v>778</v>
      </c>
      <c r="B49" s="378"/>
      <c r="C49" s="34"/>
      <c r="D49">
        <v>0.75</v>
      </c>
      <c r="E49"/>
      <c r="F49"/>
    </row>
    <row r="50" spans="1:6" ht="15.75" customHeight="1" x14ac:dyDescent="0.2">
      <c r="A50" s="378" t="s">
        <v>779</v>
      </c>
      <c r="B50" s="378"/>
      <c r="C50" s="34"/>
      <c r="D50">
        <v>0.5</v>
      </c>
      <c r="E50"/>
      <c r="F50"/>
    </row>
    <row r="51" spans="1:6" ht="15.75" customHeight="1" x14ac:dyDescent="0.2">
      <c r="A51" s="378" t="s">
        <v>780</v>
      </c>
      <c r="B51" s="378"/>
      <c r="C51" s="34"/>
      <c r="D51">
        <v>0.25</v>
      </c>
      <c r="E51"/>
      <c r="F51"/>
    </row>
    <row r="52" spans="1:6" ht="15.75" customHeight="1" x14ac:dyDescent="0.2">
      <c r="A52" s="378" t="s">
        <v>781</v>
      </c>
      <c r="B52" s="378"/>
      <c r="C52" s="34"/>
      <c r="D52">
        <v>0</v>
      </c>
      <c r="E52"/>
      <c r="F52"/>
    </row>
    <row r="53" spans="1:6" ht="15.75" customHeight="1" x14ac:dyDescent="0.2">
      <c r="D53"/>
      <c r="E53"/>
      <c r="F53"/>
    </row>
    <row r="54" spans="1:6" ht="15.75" customHeight="1" x14ac:dyDescent="0.2">
      <c r="A54" s="114" t="s">
        <v>782</v>
      </c>
      <c r="D54"/>
      <c r="E54"/>
      <c r="F54"/>
    </row>
    <row r="55" spans="1:6" ht="15.75" customHeight="1" x14ac:dyDescent="0.2">
      <c r="A55" t="s">
        <v>131</v>
      </c>
      <c r="D55">
        <v>1</v>
      </c>
      <c r="E55"/>
      <c r="F55"/>
    </row>
    <row r="56" spans="1:6" ht="15.75" customHeight="1" x14ac:dyDescent="0.2">
      <c r="A56" t="s">
        <v>130</v>
      </c>
      <c r="D56">
        <v>0</v>
      </c>
      <c r="E56"/>
      <c r="F56"/>
    </row>
    <row r="57" spans="1:6" ht="15.75" customHeight="1" x14ac:dyDescent="0.2"/>
    <row r="58" spans="1:6" ht="15.75" customHeight="1" x14ac:dyDescent="0.2"/>
    <row r="59" spans="1:6" ht="15.75" customHeight="1" x14ac:dyDescent="0.2"/>
    <row r="60" spans="1:6" ht="15.75" customHeight="1" x14ac:dyDescent="0.2"/>
    <row r="61" spans="1:6" ht="15.75" customHeight="1" x14ac:dyDescent="0.2"/>
    <row r="62" spans="1:6" ht="15.75" customHeight="1" x14ac:dyDescent="0.2"/>
    <row r="63" spans="1:6" ht="15.75" customHeight="1" x14ac:dyDescent="0.2"/>
    <row r="64" spans="1: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sheetData>
  <sheetProtection sheet="1" objects="1" scenarios="1"/>
  <autoFilter ref="A4:H38" xr:uid="{AECA4D72-C10F-45E1-B1CF-93F61561D918}"/>
  <mergeCells count="6">
    <mergeCell ref="A52:B52"/>
    <mergeCell ref="A41:F41"/>
    <mergeCell ref="A48:B48"/>
    <mergeCell ref="A49:B49"/>
    <mergeCell ref="A50:B50"/>
    <mergeCell ref="A51:B51"/>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CE55-0889-D74C-A857-41572CE2F4A7}">
  <dimension ref="A1:Q218"/>
  <sheetViews>
    <sheetView workbookViewId="0">
      <selection activeCell="S1" sqref="S1"/>
    </sheetView>
  </sheetViews>
  <sheetFormatPr baseColWidth="10" defaultRowHeight="16" x14ac:dyDescent="0.2"/>
  <cols>
    <col min="1" max="1" width="24.6640625" style="318" bestFit="1" customWidth="1"/>
    <col min="2" max="2" width="5.1640625" style="318" bestFit="1" customWidth="1"/>
    <col min="3" max="3" width="5.33203125" style="318" bestFit="1" customWidth="1"/>
    <col min="4" max="16384" width="10.83203125" style="318"/>
  </cols>
  <sheetData>
    <row r="1" spans="1:17" s="330" customFormat="1" ht="272" x14ac:dyDescent="0.2">
      <c r="A1" s="329" t="s">
        <v>989</v>
      </c>
      <c r="B1" s="329" t="s">
        <v>126</v>
      </c>
      <c r="C1" s="329" t="s">
        <v>47</v>
      </c>
      <c r="D1" s="329" t="s">
        <v>990</v>
      </c>
      <c r="E1" s="329" t="s">
        <v>1145</v>
      </c>
      <c r="F1" s="329" t="s">
        <v>1146</v>
      </c>
      <c r="G1" s="329" t="s">
        <v>1147</v>
      </c>
      <c r="H1" s="330" t="s">
        <v>126</v>
      </c>
      <c r="I1" s="330" t="s">
        <v>1154</v>
      </c>
      <c r="J1" s="330" t="s">
        <v>126</v>
      </c>
      <c r="K1" s="330" t="s">
        <v>1152</v>
      </c>
      <c r="L1" s="330" t="s">
        <v>126</v>
      </c>
      <c r="M1" s="330" t="s">
        <v>1153</v>
      </c>
      <c r="N1" s="330" t="s">
        <v>126</v>
      </c>
    </row>
    <row r="2" spans="1:17" x14ac:dyDescent="0.2">
      <c r="A2" s="316" t="s">
        <v>48</v>
      </c>
      <c r="B2" s="316">
        <v>2023</v>
      </c>
      <c r="C2" s="316" t="s">
        <v>50</v>
      </c>
      <c r="D2" s="316" t="s">
        <v>130</v>
      </c>
      <c r="E2" s="316" t="s">
        <v>131</v>
      </c>
      <c r="F2" s="316" t="s">
        <v>131</v>
      </c>
      <c r="G2">
        <v>80.2</v>
      </c>
      <c r="H2">
        <v>2015</v>
      </c>
      <c r="I2" s="318">
        <v>28.3</v>
      </c>
      <c r="J2" s="318">
        <v>2017</v>
      </c>
      <c r="K2" s="318">
        <v>50.5</v>
      </c>
      <c r="L2" s="318">
        <v>2015</v>
      </c>
      <c r="M2" s="318">
        <v>45.8</v>
      </c>
      <c r="N2" s="318">
        <v>2015</v>
      </c>
    </row>
    <row r="3" spans="1:17" x14ac:dyDescent="0.2">
      <c r="A3" s="316" t="s">
        <v>590</v>
      </c>
      <c r="B3" s="316">
        <v>2023</v>
      </c>
      <c r="C3" s="316" t="s">
        <v>591</v>
      </c>
      <c r="D3" s="316" t="s">
        <v>131</v>
      </c>
      <c r="E3" s="316" t="s">
        <v>131</v>
      </c>
      <c r="F3" s="316" t="s">
        <v>131</v>
      </c>
      <c r="G3">
        <v>6.8</v>
      </c>
      <c r="H3">
        <v>2018</v>
      </c>
      <c r="I3" s="318">
        <v>11.8</v>
      </c>
      <c r="J3" s="318">
        <v>2018</v>
      </c>
      <c r="L3" s="318">
        <v>2020</v>
      </c>
      <c r="N3" s="318">
        <v>2020</v>
      </c>
    </row>
    <row r="4" spans="1:17" x14ac:dyDescent="0.2">
      <c r="A4" s="316" t="s">
        <v>227</v>
      </c>
      <c r="B4" s="316">
        <v>2023</v>
      </c>
      <c r="C4" s="316" t="s">
        <v>228</v>
      </c>
      <c r="D4" s="316" t="s">
        <v>131</v>
      </c>
      <c r="E4" s="316" t="s">
        <v>131</v>
      </c>
      <c r="F4" s="316" t="s">
        <v>131</v>
      </c>
      <c r="G4"/>
      <c r="H4">
        <v>2021</v>
      </c>
      <c r="I4" s="318">
        <v>3.8</v>
      </c>
      <c r="J4" s="318">
        <v>2019</v>
      </c>
      <c r="L4" s="318">
        <v>2020</v>
      </c>
      <c r="N4" s="318">
        <v>2020</v>
      </c>
    </row>
    <row r="5" spans="1:17" x14ac:dyDescent="0.2">
      <c r="A5" s="316" t="s">
        <v>993</v>
      </c>
      <c r="B5" s="316">
        <v>2023</v>
      </c>
      <c r="C5" s="316" t="s">
        <v>994</v>
      </c>
      <c r="D5" s="317"/>
      <c r="E5" s="317"/>
      <c r="F5" s="317"/>
      <c r="G5"/>
      <c r="H5">
        <v>2021</v>
      </c>
      <c r="J5" s="318">
        <v>2021</v>
      </c>
      <c r="L5" s="318">
        <v>2020</v>
      </c>
      <c r="N5" s="318">
        <v>2020</v>
      </c>
    </row>
    <row r="6" spans="1:17" x14ac:dyDescent="0.2">
      <c r="A6" s="316" t="s">
        <v>991</v>
      </c>
      <c r="B6" s="316">
        <v>2023</v>
      </c>
      <c r="C6" s="316" t="s">
        <v>992</v>
      </c>
      <c r="D6" s="317"/>
      <c r="E6" s="317"/>
      <c r="F6" s="317"/>
      <c r="G6"/>
      <c r="H6">
        <v>2021</v>
      </c>
      <c r="J6" s="318">
        <v>2021</v>
      </c>
      <c r="L6" s="318">
        <v>2020</v>
      </c>
      <c r="N6" s="318">
        <v>2020</v>
      </c>
    </row>
    <row r="7" spans="1:17" x14ac:dyDescent="0.2">
      <c r="A7" s="316" t="s">
        <v>162</v>
      </c>
      <c r="B7" s="316">
        <v>2023</v>
      </c>
      <c r="C7" s="316" t="s">
        <v>163</v>
      </c>
      <c r="D7" s="316" t="s">
        <v>131</v>
      </c>
      <c r="E7" s="316" t="s">
        <v>131</v>
      </c>
      <c r="F7" s="316" t="s">
        <v>131</v>
      </c>
      <c r="G7">
        <v>25.2</v>
      </c>
      <c r="H7">
        <v>2016</v>
      </c>
      <c r="I7" s="318">
        <v>30.3</v>
      </c>
      <c r="J7" s="318">
        <v>2016</v>
      </c>
      <c r="K7" s="318">
        <v>32.5</v>
      </c>
      <c r="L7" s="318">
        <v>2016</v>
      </c>
      <c r="M7" s="318">
        <v>24.3</v>
      </c>
      <c r="N7" s="318">
        <v>2016</v>
      </c>
    </row>
    <row r="8" spans="1:17" ht="17" x14ac:dyDescent="0.2">
      <c r="A8" s="316" t="s">
        <v>995</v>
      </c>
      <c r="B8" s="316">
        <v>2023</v>
      </c>
      <c r="C8" s="316" t="s">
        <v>996</v>
      </c>
      <c r="D8" s="316" t="s">
        <v>131</v>
      </c>
      <c r="E8" s="316" t="s">
        <v>130</v>
      </c>
      <c r="F8" s="316" t="s">
        <v>130</v>
      </c>
      <c r="G8"/>
      <c r="H8">
        <v>2021</v>
      </c>
      <c r="J8" s="318">
        <v>2021</v>
      </c>
      <c r="L8" s="318">
        <v>2020</v>
      </c>
      <c r="N8" s="318">
        <v>2020</v>
      </c>
      <c r="Q8" s="355"/>
    </row>
    <row r="9" spans="1:17" x14ac:dyDescent="0.2">
      <c r="A9" s="316" t="s">
        <v>592</v>
      </c>
      <c r="B9" s="316">
        <v>2023</v>
      </c>
      <c r="C9" s="316" t="s">
        <v>593</v>
      </c>
      <c r="D9" s="316" t="s">
        <v>131</v>
      </c>
      <c r="E9" s="316" t="s">
        <v>131</v>
      </c>
      <c r="F9" s="316" t="s">
        <v>130</v>
      </c>
      <c r="G9"/>
      <c r="H9">
        <v>2021</v>
      </c>
      <c r="I9" s="318">
        <v>15.4</v>
      </c>
      <c r="J9" s="318">
        <v>2020</v>
      </c>
      <c r="L9" s="318">
        <v>2020</v>
      </c>
      <c r="N9" s="318">
        <v>2020</v>
      </c>
    </row>
    <row r="10" spans="1:17" x14ac:dyDescent="0.2">
      <c r="A10" s="316" t="s">
        <v>167</v>
      </c>
      <c r="B10" s="316">
        <v>2023</v>
      </c>
      <c r="C10" s="316" t="s">
        <v>168</v>
      </c>
      <c r="D10" s="316" t="s">
        <v>131</v>
      </c>
      <c r="E10" s="316" t="s">
        <v>131</v>
      </c>
      <c r="F10" s="316" t="s">
        <v>130</v>
      </c>
      <c r="G10">
        <v>10.1</v>
      </c>
      <c r="H10">
        <v>2016</v>
      </c>
      <c r="I10" s="318">
        <v>5.3</v>
      </c>
      <c r="J10" s="318">
        <v>2016</v>
      </c>
      <c r="K10" s="318">
        <v>11.4</v>
      </c>
      <c r="L10" s="318">
        <v>2016</v>
      </c>
      <c r="M10" s="318">
        <v>6.4</v>
      </c>
      <c r="N10" s="318">
        <v>2016</v>
      </c>
    </row>
    <row r="11" spans="1:17" x14ac:dyDescent="0.2">
      <c r="A11" s="316" t="s">
        <v>725</v>
      </c>
      <c r="B11" s="316">
        <v>2023</v>
      </c>
      <c r="C11" s="316" t="s">
        <v>726</v>
      </c>
      <c r="D11" s="317"/>
      <c r="E11" s="317"/>
      <c r="F11" s="317"/>
      <c r="G11"/>
      <c r="H11">
        <v>2021</v>
      </c>
      <c r="J11" s="318">
        <v>2021</v>
      </c>
      <c r="L11" s="318">
        <v>2020</v>
      </c>
      <c r="N11" s="318">
        <v>2020</v>
      </c>
    </row>
    <row r="12" spans="1:17" x14ac:dyDescent="0.2">
      <c r="A12" s="316" t="s">
        <v>997</v>
      </c>
      <c r="B12" s="316">
        <v>2023</v>
      </c>
      <c r="C12" s="316" t="s">
        <v>998</v>
      </c>
      <c r="D12" s="316" t="s">
        <v>131</v>
      </c>
      <c r="E12" s="316" t="s">
        <v>131</v>
      </c>
      <c r="F12" s="316" t="s">
        <v>131</v>
      </c>
      <c r="G12"/>
      <c r="H12">
        <v>2021</v>
      </c>
      <c r="J12" s="318">
        <v>2021</v>
      </c>
      <c r="L12" s="318">
        <v>2020</v>
      </c>
      <c r="N12" s="318">
        <v>2020</v>
      </c>
    </row>
    <row r="13" spans="1:17" x14ac:dyDescent="0.2">
      <c r="A13" s="316" t="s">
        <v>999</v>
      </c>
      <c r="B13" s="316">
        <v>2023</v>
      </c>
      <c r="C13" s="316" t="s">
        <v>1000</v>
      </c>
      <c r="D13" s="316" t="s">
        <v>131</v>
      </c>
      <c r="E13" s="316" t="s">
        <v>131</v>
      </c>
      <c r="F13" s="316" t="s">
        <v>131</v>
      </c>
      <c r="G13"/>
      <c r="H13">
        <v>2021</v>
      </c>
      <c r="J13" s="318">
        <v>2021</v>
      </c>
      <c r="L13" s="318">
        <v>2020</v>
      </c>
      <c r="N13" s="318">
        <v>2020</v>
      </c>
    </row>
    <row r="14" spans="1:17" x14ac:dyDescent="0.2">
      <c r="A14" s="316" t="s">
        <v>171</v>
      </c>
      <c r="B14" s="316">
        <v>2023</v>
      </c>
      <c r="C14" s="316" t="s">
        <v>172</v>
      </c>
      <c r="D14" s="316" t="s">
        <v>131</v>
      </c>
      <c r="E14" s="316" t="s">
        <v>131</v>
      </c>
      <c r="F14" s="316" t="s">
        <v>131</v>
      </c>
      <c r="G14"/>
      <c r="H14">
        <v>2021</v>
      </c>
      <c r="I14" s="318">
        <v>11</v>
      </c>
      <c r="J14" s="318">
        <v>2011</v>
      </c>
      <c r="L14" s="318">
        <v>2020</v>
      </c>
      <c r="N14" s="318">
        <v>2020</v>
      </c>
    </row>
    <row r="15" spans="1:17" x14ac:dyDescent="0.2">
      <c r="A15" s="316" t="s">
        <v>1003</v>
      </c>
      <c r="B15" s="316">
        <v>2023</v>
      </c>
      <c r="C15" s="316" t="s">
        <v>595</v>
      </c>
      <c r="D15" s="316" t="s">
        <v>131</v>
      </c>
      <c r="E15" s="316" t="s">
        <v>131</v>
      </c>
      <c r="F15" s="316" t="s">
        <v>131</v>
      </c>
      <c r="G15"/>
      <c r="H15">
        <v>2021</v>
      </c>
      <c r="J15" s="318">
        <v>2021</v>
      </c>
      <c r="L15" s="318">
        <v>2020</v>
      </c>
      <c r="N15" s="318">
        <v>2020</v>
      </c>
    </row>
    <row r="16" spans="1:17" x14ac:dyDescent="0.2">
      <c r="A16" s="316" t="s">
        <v>596</v>
      </c>
      <c r="B16" s="316">
        <v>2023</v>
      </c>
      <c r="C16" s="316" t="s">
        <v>597</v>
      </c>
      <c r="D16" s="316" t="s">
        <v>131</v>
      </c>
      <c r="E16" s="316" t="s">
        <v>131</v>
      </c>
      <c r="F16" s="316" t="s">
        <v>131</v>
      </c>
      <c r="G16"/>
      <c r="H16">
        <v>2021</v>
      </c>
      <c r="J16" s="318">
        <v>2021</v>
      </c>
      <c r="L16" s="318">
        <v>2020</v>
      </c>
      <c r="N16" s="318">
        <v>2020</v>
      </c>
    </row>
    <row r="17" spans="1:14" x14ac:dyDescent="0.2">
      <c r="A17" s="316" t="s">
        <v>133</v>
      </c>
      <c r="B17" s="316">
        <v>2023</v>
      </c>
      <c r="C17" s="316" t="s">
        <v>134</v>
      </c>
      <c r="D17" s="316" t="s">
        <v>131</v>
      </c>
      <c r="E17" s="316" t="s">
        <v>131</v>
      </c>
      <c r="F17" s="316" t="s">
        <v>130</v>
      </c>
      <c r="G17">
        <v>20.100000000000001</v>
      </c>
      <c r="H17">
        <v>2018</v>
      </c>
      <c r="I17" s="318">
        <v>51.4</v>
      </c>
      <c r="J17" s="318">
        <v>2019</v>
      </c>
      <c r="L17" s="318">
        <v>2020</v>
      </c>
      <c r="N17" s="318">
        <v>2020</v>
      </c>
    </row>
    <row r="18" spans="1:14" x14ac:dyDescent="0.2">
      <c r="A18" s="316" t="s">
        <v>598</v>
      </c>
      <c r="B18" s="316">
        <v>2023</v>
      </c>
      <c r="C18" s="316" t="s">
        <v>599</v>
      </c>
      <c r="D18" s="316" t="s">
        <v>131</v>
      </c>
      <c r="E18" s="316" t="s">
        <v>131</v>
      </c>
      <c r="F18" s="316" t="s">
        <v>131</v>
      </c>
      <c r="G18"/>
      <c r="H18">
        <v>2021</v>
      </c>
      <c r="I18" s="318">
        <v>29.2</v>
      </c>
      <c r="J18" s="318">
        <v>2012</v>
      </c>
      <c r="L18" s="318">
        <v>2020</v>
      </c>
      <c r="N18" s="318">
        <v>2020</v>
      </c>
    </row>
    <row r="19" spans="1:14" x14ac:dyDescent="0.2">
      <c r="A19" s="316" t="s">
        <v>566</v>
      </c>
      <c r="B19" s="316">
        <v>2023</v>
      </c>
      <c r="C19" s="316" t="s">
        <v>567</v>
      </c>
      <c r="D19" s="316" t="s">
        <v>131</v>
      </c>
      <c r="E19" s="316" t="s">
        <v>130</v>
      </c>
      <c r="F19" s="316" t="s">
        <v>130</v>
      </c>
      <c r="G19"/>
      <c r="H19">
        <v>2021</v>
      </c>
      <c r="I19" s="318">
        <v>4.7</v>
      </c>
      <c r="J19" s="318">
        <v>2019</v>
      </c>
      <c r="L19" s="318">
        <v>2020</v>
      </c>
      <c r="N19" s="318">
        <v>2020</v>
      </c>
    </row>
    <row r="20" spans="1:14" x14ac:dyDescent="0.2">
      <c r="A20" s="316" t="s">
        <v>1001</v>
      </c>
      <c r="B20" s="316">
        <v>2023</v>
      </c>
      <c r="C20" s="316" t="s">
        <v>1002</v>
      </c>
      <c r="D20" s="316" t="s">
        <v>131</v>
      </c>
      <c r="E20" s="316" t="s">
        <v>131</v>
      </c>
      <c r="F20" s="316" t="s">
        <v>131</v>
      </c>
      <c r="G20"/>
      <c r="H20">
        <v>2021</v>
      </c>
      <c r="I20" s="318">
        <v>0</v>
      </c>
      <c r="J20" s="318">
        <v>2019</v>
      </c>
      <c r="L20" s="318">
        <v>2020</v>
      </c>
      <c r="N20" s="318">
        <v>2020</v>
      </c>
    </row>
    <row r="21" spans="1:14" x14ac:dyDescent="0.2">
      <c r="A21" s="316" t="s">
        <v>600</v>
      </c>
      <c r="B21" s="316">
        <v>2023</v>
      </c>
      <c r="C21" s="316" t="s">
        <v>601</v>
      </c>
      <c r="D21" s="316" t="s">
        <v>131</v>
      </c>
      <c r="E21" s="316" t="s">
        <v>131</v>
      </c>
      <c r="F21" s="316" t="s">
        <v>131</v>
      </c>
      <c r="G21"/>
      <c r="H21">
        <v>2021</v>
      </c>
      <c r="I21" s="318">
        <v>33.5</v>
      </c>
      <c r="J21" s="318">
        <v>2016</v>
      </c>
      <c r="L21" s="318">
        <v>2020</v>
      </c>
      <c r="N21" s="318">
        <v>2020</v>
      </c>
    </row>
    <row r="22" spans="1:14" x14ac:dyDescent="0.2">
      <c r="A22" s="316" t="s">
        <v>602</v>
      </c>
      <c r="B22" s="316">
        <v>2023</v>
      </c>
      <c r="C22" s="316" t="s">
        <v>603</v>
      </c>
      <c r="D22" s="316" t="s">
        <v>131</v>
      </c>
      <c r="E22" s="316" t="s">
        <v>131</v>
      </c>
      <c r="F22" s="316" t="s">
        <v>131</v>
      </c>
      <c r="G22">
        <v>31.8</v>
      </c>
      <c r="H22">
        <v>2018</v>
      </c>
      <c r="I22" s="318">
        <v>30.6</v>
      </c>
      <c r="J22" s="318">
        <v>2018</v>
      </c>
      <c r="K22" s="318">
        <v>36.700000000000003</v>
      </c>
      <c r="L22" s="318">
        <v>2018</v>
      </c>
      <c r="M22" s="318">
        <v>28.7</v>
      </c>
      <c r="N22" s="318">
        <v>2018</v>
      </c>
    </row>
    <row r="23" spans="1:14" x14ac:dyDescent="0.2">
      <c r="A23" s="316" t="s">
        <v>1004</v>
      </c>
      <c r="B23" s="316">
        <v>2023</v>
      </c>
      <c r="C23" s="316" t="s">
        <v>1005</v>
      </c>
      <c r="D23" s="317"/>
      <c r="E23" s="317"/>
      <c r="F23" s="317"/>
      <c r="G23"/>
      <c r="H23">
        <v>2021</v>
      </c>
      <c r="J23" s="318">
        <v>2021</v>
      </c>
      <c r="L23" s="318">
        <v>2020</v>
      </c>
      <c r="N23" s="318">
        <v>2020</v>
      </c>
    </row>
    <row r="24" spans="1:14" x14ac:dyDescent="0.2">
      <c r="A24" s="316" t="s">
        <v>604</v>
      </c>
      <c r="B24" s="316">
        <v>2023</v>
      </c>
      <c r="C24" s="316" t="s">
        <v>605</v>
      </c>
      <c r="D24" s="316" t="s">
        <v>131</v>
      </c>
      <c r="E24" s="316" t="s">
        <v>131</v>
      </c>
      <c r="F24" s="316" t="s">
        <v>131</v>
      </c>
      <c r="G24"/>
      <c r="H24">
        <v>2021</v>
      </c>
      <c r="I24" s="318">
        <v>25.8</v>
      </c>
      <c r="J24" s="318">
        <v>2010</v>
      </c>
      <c r="L24" s="318">
        <v>2020</v>
      </c>
      <c r="N24" s="318">
        <v>2020</v>
      </c>
    </row>
    <row r="25" spans="1:14" x14ac:dyDescent="0.2">
      <c r="A25" s="316" t="s">
        <v>606</v>
      </c>
      <c r="B25" s="316">
        <v>2023</v>
      </c>
      <c r="C25" s="316" t="s">
        <v>607</v>
      </c>
      <c r="D25" s="316" t="s">
        <v>131</v>
      </c>
      <c r="E25" s="316" t="s">
        <v>131</v>
      </c>
      <c r="F25" s="316" t="s">
        <v>131</v>
      </c>
      <c r="G25"/>
      <c r="H25">
        <v>2021</v>
      </c>
      <c r="I25" s="318">
        <v>19.7</v>
      </c>
      <c r="J25" s="318">
        <v>2016</v>
      </c>
      <c r="L25" s="318">
        <v>2020</v>
      </c>
      <c r="N25" s="318">
        <v>2020</v>
      </c>
    </row>
    <row r="26" spans="1:14" x14ac:dyDescent="0.2">
      <c r="A26" s="316" t="s">
        <v>608</v>
      </c>
      <c r="B26" s="316">
        <v>2023</v>
      </c>
      <c r="C26" s="316" t="s">
        <v>609</v>
      </c>
      <c r="D26" s="316" t="s">
        <v>131</v>
      </c>
      <c r="E26" s="316" t="s">
        <v>131</v>
      </c>
      <c r="F26" s="316" t="s">
        <v>131</v>
      </c>
      <c r="G26"/>
      <c r="H26">
        <v>2021</v>
      </c>
      <c r="I26" s="318">
        <v>3.5</v>
      </c>
      <c r="J26" s="318">
        <v>2012</v>
      </c>
      <c r="L26" s="318">
        <v>2020</v>
      </c>
      <c r="N26" s="318">
        <v>2020</v>
      </c>
    </row>
    <row r="27" spans="1:14" x14ac:dyDescent="0.2">
      <c r="A27" s="316" t="s">
        <v>610</v>
      </c>
      <c r="B27" s="316">
        <v>2023</v>
      </c>
      <c r="C27" s="316" t="s">
        <v>611</v>
      </c>
      <c r="D27" s="316" t="s">
        <v>131</v>
      </c>
      <c r="E27" s="316" t="s">
        <v>130</v>
      </c>
      <c r="F27" s="316" t="s">
        <v>130</v>
      </c>
      <c r="G27"/>
      <c r="H27">
        <v>2021</v>
      </c>
      <c r="J27" s="318">
        <v>2021</v>
      </c>
      <c r="L27" s="318">
        <v>2020</v>
      </c>
      <c r="N27" s="318">
        <v>2020</v>
      </c>
    </row>
    <row r="28" spans="1:14" x14ac:dyDescent="0.2">
      <c r="A28" s="316" t="s">
        <v>181</v>
      </c>
      <c r="B28" s="316">
        <v>2023</v>
      </c>
      <c r="C28" s="316" t="s">
        <v>182</v>
      </c>
      <c r="D28" s="316" t="s">
        <v>131</v>
      </c>
      <c r="E28" s="316" t="s">
        <v>131</v>
      </c>
      <c r="F28" s="316" t="s">
        <v>131</v>
      </c>
      <c r="G28"/>
      <c r="H28">
        <v>2021</v>
      </c>
      <c r="J28" s="318">
        <v>2021</v>
      </c>
      <c r="L28" s="318">
        <v>2020</v>
      </c>
      <c r="N28" s="318">
        <v>2020</v>
      </c>
    </row>
    <row r="29" spans="1:14" x14ac:dyDescent="0.2">
      <c r="A29" s="316" t="s">
        <v>1124</v>
      </c>
      <c r="B29" s="316">
        <v>2023</v>
      </c>
      <c r="C29" s="316" t="s">
        <v>1125</v>
      </c>
      <c r="D29" s="317"/>
      <c r="E29" s="317"/>
      <c r="F29" s="317"/>
      <c r="G29"/>
      <c r="H29">
        <v>2021</v>
      </c>
      <c r="J29" s="318">
        <v>2021</v>
      </c>
      <c r="L29" s="318">
        <v>2020</v>
      </c>
      <c r="N29" s="318">
        <v>2020</v>
      </c>
    </row>
    <row r="30" spans="1:14" x14ac:dyDescent="0.2">
      <c r="A30" s="316" t="s">
        <v>1006</v>
      </c>
      <c r="B30" s="316">
        <v>2023</v>
      </c>
      <c r="C30" s="316" t="s">
        <v>1007</v>
      </c>
      <c r="D30" s="316" t="s">
        <v>131</v>
      </c>
      <c r="E30" s="316" t="s">
        <v>130</v>
      </c>
      <c r="F30" s="316" t="s">
        <v>130</v>
      </c>
      <c r="G30"/>
      <c r="H30">
        <v>2021</v>
      </c>
      <c r="J30" s="318">
        <v>2021</v>
      </c>
      <c r="L30" s="318">
        <v>2020</v>
      </c>
      <c r="N30" s="318">
        <v>2020</v>
      </c>
    </row>
    <row r="31" spans="1:14" x14ac:dyDescent="0.2">
      <c r="A31" s="316" t="s">
        <v>564</v>
      </c>
      <c r="B31" s="316">
        <v>2023</v>
      </c>
      <c r="C31" s="316" t="s">
        <v>565</v>
      </c>
      <c r="D31" s="316" t="s">
        <v>131</v>
      </c>
      <c r="E31" s="316" t="s">
        <v>131</v>
      </c>
      <c r="F31" s="316" t="s">
        <v>131</v>
      </c>
      <c r="G31"/>
      <c r="H31">
        <v>2021</v>
      </c>
      <c r="J31" s="318">
        <v>2021</v>
      </c>
      <c r="L31" s="318">
        <v>2020</v>
      </c>
      <c r="N31" s="318">
        <v>2020</v>
      </c>
    </row>
    <row r="32" spans="1:14" x14ac:dyDescent="0.2">
      <c r="A32" s="316" t="s">
        <v>98</v>
      </c>
      <c r="B32" s="316">
        <v>2023</v>
      </c>
      <c r="C32" s="316" t="s">
        <v>99</v>
      </c>
      <c r="D32" s="316" t="s">
        <v>131</v>
      </c>
      <c r="E32" s="316" t="s">
        <v>131</v>
      </c>
      <c r="F32" s="316" t="s">
        <v>131</v>
      </c>
      <c r="G32">
        <v>43.5</v>
      </c>
      <c r="H32">
        <v>2010</v>
      </c>
      <c r="I32" s="318">
        <v>51.6</v>
      </c>
      <c r="J32" s="318">
        <v>2010</v>
      </c>
      <c r="K32" s="318">
        <v>11.1</v>
      </c>
      <c r="L32" s="318">
        <v>2010</v>
      </c>
      <c r="M32" s="318">
        <v>8.9</v>
      </c>
      <c r="N32" s="318">
        <v>2010</v>
      </c>
    </row>
    <row r="33" spans="1:14" x14ac:dyDescent="0.2">
      <c r="A33" s="316" t="s">
        <v>88</v>
      </c>
      <c r="B33" s="316">
        <v>2023</v>
      </c>
      <c r="C33" s="316" t="s">
        <v>89</v>
      </c>
      <c r="D33" s="316" t="s">
        <v>131</v>
      </c>
      <c r="E33" s="316" t="s">
        <v>131</v>
      </c>
      <c r="F33" s="316" t="s">
        <v>131</v>
      </c>
      <c r="G33">
        <v>61.8</v>
      </c>
      <c r="H33">
        <v>2017</v>
      </c>
      <c r="I33" s="318">
        <v>19</v>
      </c>
      <c r="J33" s="318">
        <v>2017</v>
      </c>
      <c r="K33" s="318">
        <v>39.700000000000003</v>
      </c>
      <c r="L33" s="318">
        <v>2017</v>
      </c>
      <c r="M33" s="318">
        <v>18.5</v>
      </c>
      <c r="N33" s="318">
        <v>2017</v>
      </c>
    </row>
    <row r="34" spans="1:14" x14ac:dyDescent="0.2">
      <c r="A34" s="316" t="s">
        <v>612</v>
      </c>
      <c r="B34" s="316">
        <v>2023</v>
      </c>
      <c r="C34" s="316" t="s">
        <v>613</v>
      </c>
      <c r="D34" s="316" t="s">
        <v>131</v>
      </c>
      <c r="E34" s="316" t="s">
        <v>131</v>
      </c>
      <c r="F34" s="316" t="s">
        <v>131</v>
      </c>
      <c r="G34"/>
      <c r="H34">
        <v>2021</v>
      </c>
      <c r="I34" s="318">
        <v>8.4</v>
      </c>
      <c r="J34" s="318">
        <v>2018</v>
      </c>
      <c r="L34" s="318">
        <v>2020</v>
      </c>
      <c r="N34" s="318">
        <v>2020</v>
      </c>
    </row>
    <row r="35" spans="1:14" x14ac:dyDescent="0.2">
      <c r="A35" s="316" t="s">
        <v>614</v>
      </c>
      <c r="B35" s="316">
        <v>2023</v>
      </c>
      <c r="C35" s="316" t="s">
        <v>615</v>
      </c>
      <c r="D35" s="316" t="s">
        <v>131</v>
      </c>
      <c r="E35" s="316" t="s">
        <v>131</v>
      </c>
      <c r="F35" s="316" t="s">
        <v>131</v>
      </c>
      <c r="G35">
        <v>49.8</v>
      </c>
      <c r="H35">
        <v>2014</v>
      </c>
      <c r="I35" s="318">
        <v>18.5</v>
      </c>
      <c r="J35" s="318">
        <v>2014</v>
      </c>
      <c r="K35" s="318">
        <v>24.8</v>
      </c>
      <c r="L35" s="318">
        <v>2014</v>
      </c>
      <c r="M35" s="318">
        <v>17.3</v>
      </c>
      <c r="N35" s="318">
        <v>2014</v>
      </c>
    </row>
    <row r="36" spans="1:14" x14ac:dyDescent="0.2">
      <c r="A36" s="316" t="s">
        <v>92</v>
      </c>
      <c r="B36" s="316">
        <v>2023</v>
      </c>
      <c r="C36" s="316" t="s">
        <v>93</v>
      </c>
      <c r="D36" s="316" t="s">
        <v>130</v>
      </c>
      <c r="E36" s="316" t="s">
        <v>131</v>
      </c>
      <c r="F36" s="316" t="s">
        <v>131</v>
      </c>
      <c r="G36">
        <v>27.7</v>
      </c>
      <c r="H36">
        <v>2018</v>
      </c>
      <c r="I36" s="318">
        <v>29.8</v>
      </c>
      <c r="J36" s="318">
        <v>2018</v>
      </c>
      <c r="K36" s="318">
        <v>34.200000000000003</v>
      </c>
      <c r="L36" s="318">
        <v>2018</v>
      </c>
      <c r="M36" s="318">
        <v>22.4</v>
      </c>
      <c r="N36" s="318">
        <v>2018</v>
      </c>
    </row>
    <row r="37" spans="1:14" x14ac:dyDescent="0.2">
      <c r="A37" s="316" t="s">
        <v>1008</v>
      </c>
      <c r="B37" s="316">
        <v>2023</v>
      </c>
      <c r="C37" s="316" t="s">
        <v>1009</v>
      </c>
      <c r="D37" s="316" t="s">
        <v>131</v>
      </c>
      <c r="E37" s="316" t="s">
        <v>131</v>
      </c>
      <c r="F37" s="316" t="s">
        <v>131</v>
      </c>
      <c r="G37"/>
      <c r="H37">
        <v>2021</v>
      </c>
      <c r="J37" s="318">
        <v>2021</v>
      </c>
      <c r="L37" s="318">
        <v>2020</v>
      </c>
      <c r="N37" s="318">
        <v>2020</v>
      </c>
    </row>
    <row r="38" spans="1:14" x14ac:dyDescent="0.2">
      <c r="A38" s="316" t="s">
        <v>1018</v>
      </c>
      <c r="B38" s="316">
        <v>2023</v>
      </c>
      <c r="C38" s="316" t="s">
        <v>1019</v>
      </c>
      <c r="D38" s="317"/>
      <c r="E38" s="317"/>
      <c r="F38" s="317"/>
      <c r="G38"/>
      <c r="H38">
        <v>2021</v>
      </c>
      <c r="J38" s="318">
        <v>2021</v>
      </c>
      <c r="L38" s="318">
        <v>2020</v>
      </c>
      <c r="N38" s="318">
        <v>2020</v>
      </c>
    </row>
    <row r="39" spans="1:14" x14ac:dyDescent="0.2">
      <c r="A39" s="316" t="s">
        <v>616</v>
      </c>
      <c r="B39" s="316">
        <v>2023</v>
      </c>
      <c r="C39" s="316" t="s">
        <v>76</v>
      </c>
      <c r="D39" s="316" t="s">
        <v>131</v>
      </c>
      <c r="E39" s="316" t="s">
        <v>131</v>
      </c>
      <c r="F39" s="316" t="s">
        <v>131</v>
      </c>
      <c r="G39"/>
      <c r="H39">
        <v>2021</v>
      </c>
      <c r="I39" s="318">
        <v>61</v>
      </c>
      <c r="J39" s="318">
        <v>2019</v>
      </c>
      <c r="L39" s="318">
        <v>2020</v>
      </c>
      <c r="N39" s="318">
        <v>2020</v>
      </c>
    </row>
    <row r="40" spans="1:14" x14ac:dyDescent="0.2">
      <c r="A40" s="316" t="s">
        <v>67</v>
      </c>
      <c r="B40" s="316">
        <v>2023</v>
      </c>
      <c r="C40" s="316" t="s">
        <v>68</v>
      </c>
      <c r="D40" s="316" t="s">
        <v>131</v>
      </c>
      <c r="E40" s="316" t="s">
        <v>131</v>
      </c>
      <c r="F40" s="316" t="s">
        <v>131</v>
      </c>
      <c r="G40">
        <v>73.5</v>
      </c>
      <c r="H40">
        <v>2015</v>
      </c>
      <c r="I40" s="318">
        <v>60.6</v>
      </c>
      <c r="J40" s="318">
        <v>2019</v>
      </c>
      <c r="K40" s="318">
        <v>26.4</v>
      </c>
      <c r="L40" s="318">
        <v>2015</v>
      </c>
      <c r="M40" s="318">
        <v>16.3</v>
      </c>
      <c r="N40" s="318">
        <v>2015</v>
      </c>
    </row>
    <row r="41" spans="1:14" x14ac:dyDescent="0.2">
      <c r="A41" s="316" t="s">
        <v>1012</v>
      </c>
      <c r="B41" s="316">
        <v>2023</v>
      </c>
      <c r="C41" s="316" t="s">
        <v>1013</v>
      </c>
      <c r="D41" s="317"/>
      <c r="E41" s="317"/>
      <c r="F41" s="317"/>
      <c r="G41"/>
      <c r="H41">
        <v>2021</v>
      </c>
      <c r="J41" s="318">
        <v>2021</v>
      </c>
      <c r="L41" s="318">
        <v>2020</v>
      </c>
      <c r="N41" s="318">
        <v>2020</v>
      </c>
    </row>
    <row r="42" spans="1:14" x14ac:dyDescent="0.2">
      <c r="A42" s="316" t="s">
        <v>189</v>
      </c>
      <c r="B42" s="316">
        <v>2023</v>
      </c>
      <c r="C42" s="316" t="s">
        <v>190</v>
      </c>
      <c r="D42" s="316" t="s">
        <v>131</v>
      </c>
      <c r="E42" s="316" t="s">
        <v>131</v>
      </c>
      <c r="F42" s="316" t="s">
        <v>130</v>
      </c>
      <c r="G42"/>
      <c r="H42">
        <v>2021</v>
      </c>
      <c r="J42" s="318">
        <v>2021</v>
      </c>
      <c r="L42" s="318">
        <v>2020</v>
      </c>
      <c r="N42" s="318">
        <v>2020</v>
      </c>
    </row>
    <row r="43" spans="1:14" x14ac:dyDescent="0.2">
      <c r="A43" s="316" t="s">
        <v>617</v>
      </c>
      <c r="B43" s="316">
        <v>2023</v>
      </c>
      <c r="C43" s="316" t="s">
        <v>618</v>
      </c>
      <c r="D43" s="316" t="s">
        <v>131</v>
      </c>
      <c r="E43" s="316" t="s">
        <v>131</v>
      </c>
      <c r="F43" s="316" t="s">
        <v>131</v>
      </c>
      <c r="G43"/>
      <c r="H43">
        <v>2021</v>
      </c>
      <c r="J43" s="318">
        <v>2021</v>
      </c>
      <c r="L43" s="318">
        <v>2020</v>
      </c>
      <c r="N43" s="318">
        <v>2020</v>
      </c>
    </row>
    <row r="44" spans="1:14" x14ac:dyDescent="0.2">
      <c r="A44" s="316" t="s">
        <v>104</v>
      </c>
      <c r="B44" s="316">
        <v>2023</v>
      </c>
      <c r="C44" s="316" t="s">
        <v>105</v>
      </c>
      <c r="D44" s="316" t="s">
        <v>131</v>
      </c>
      <c r="E44" s="316" t="s">
        <v>131</v>
      </c>
      <c r="F44" s="316" t="s">
        <v>131</v>
      </c>
      <c r="G44">
        <v>3.1</v>
      </c>
      <c r="H44">
        <v>2015</v>
      </c>
      <c r="I44" s="318">
        <v>23.4</v>
      </c>
      <c r="J44" s="318">
        <v>2015</v>
      </c>
      <c r="K44" s="318">
        <v>36.5</v>
      </c>
      <c r="L44" s="318">
        <v>2020</v>
      </c>
      <c r="M44" s="318">
        <v>36.5</v>
      </c>
      <c r="N44" s="318">
        <v>2020</v>
      </c>
    </row>
    <row r="45" spans="1:14" x14ac:dyDescent="0.2">
      <c r="A45" s="316" t="s">
        <v>619</v>
      </c>
      <c r="B45" s="316">
        <v>2023</v>
      </c>
      <c r="C45" s="316" t="s">
        <v>620</v>
      </c>
      <c r="D45" s="316" t="s">
        <v>131</v>
      </c>
      <c r="E45" s="316" t="s">
        <v>131</v>
      </c>
      <c r="F45" s="316" t="s">
        <v>131</v>
      </c>
      <c r="G45">
        <v>39</v>
      </c>
      <c r="H45">
        <v>2012</v>
      </c>
      <c r="I45" s="318">
        <v>31.6</v>
      </c>
      <c r="J45" s="318">
        <v>2012</v>
      </c>
      <c r="K45" s="318">
        <v>8.1</v>
      </c>
      <c r="L45" s="318">
        <v>2012</v>
      </c>
      <c r="M45" s="318">
        <v>6.2</v>
      </c>
      <c r="N45" s="318">
        <v>2012</v>
      </c>
    </row>
    <row r="46" spans="1:14" x14ac:dyDescent="0.2">
      <c r="A46" s="316" t="s">
        <v>1014</v>
      </c>
      <c r="B46" s="316">
        <v>2023</v>
      </c>
      <c r="C46" s="316" t="s">
        <v>64</v>
      </c>
      <c r="D46" s="316" t="s">
        <v>130</v>
      </c>
      <c r="E46" s="316" t="s">
        <v>131</v>
      </c>
      <c r="F46" s="316" t="s">
        <v>131</v>
      </c>
      <c r="G46">
        <v>74.8</v>
      </c>
      <c r="H46">
        <v>2014</v>
      </c>
      <c r="I46" s="318">
        <v>29.1</v>
      </c>
      <c r="J46" s="318">
        <v>2018</v>
      </c>
      <c r="K46" s="318">
        <v>45.9</v>
      </c>
      <c r="L46" s="318">
        <v>2014</v>
      </c>
      <c r="M46" s="318">
        <v>30.3</v>
      </c>
      <c r="N46" s="318">
        <v>2014</v>
      </c>
    </row>
    <row r="47" spans="1:14" x14ac:dyDescent="0.2">
      <c r="A47" s="316" t="s">
        <v>1015</v>
      </c>
      <c r="B47" s="316">
        <v>2023</v>
      </c>
      <c r="C47" s="316" t="s">
        <v>203</v>
      </c>
      <c r="D47" s="316" t="s">
        <v>131</v>
      </c>
      <c r="E47" s="316" t="s">
        <v>131</v>
      </c>
      <c r="F47" s="316" t="s">
        <v>131</v>
      </c>
      <c r="G47">
        <v>60.7</v>
      </c>
      <c r="H47">
        <v>2012</v>
      </c>
      <c r="I47" s="318">
        <v>27.3</v>
      </c>
      <c r="J47" s="318">
        <v>2015</v>
      </c>
      <c r="L47" s="318">
        <v>2020</v>
      </c>
      <c r="N47" s="318">
        <v>2020</v>
      </c>
    </row>
    <row r="48" spans="1:14" x14ac:dyDescent="0.2">
      <c r="A48" s="316" t="s">
        <v>210</v>
      </c>
      <c r="B48" s="316">
        <v>2023</v>
      </c>
      <c r="C48" s="316" t="s">
        <v>211</v>
      </c>
      <c r="D48" s="316" t="s">
        <v>131</v>
      </c>
      <c r="E48" s="316" t="s">
        <v>131</v>
      </c>
      <c r="F48" s="316" t="s">
        <v>131</v>
      </c>
      <c r="G48"/>
      <c r="H48">
        <v>2021</v>
      </c>
      <c r="I48" s="318">
        <v>17.100000000000001</v>
      </c>
      <c r="J48" s="318">
        <v>2018</v>
      </c>
      <c r="L48" s="318">
        <v>2020</v>
      </c>
      <c r="N48" s="318">
        <v>2020</v>
      </c>
    </row>
    <row r="49" spans="1:14" x14ac:dyDescent="0.2">
      <c r="A49" s="316" t="s">
        <v>621</v>
      </c>
      <c r="B49" s="316">
        <v>2023</v>
      </c>
      <c r="C49" s="316" t="s">
        <v>622</v>
      </c>
      <c r="D49" s="316" t="s">
        <v>131</v>
      </c>
      <c r="E49" s="316" t="s">
        <v>131</v>
      </c>
      <c r="F49" s="316" t="s">
        <v>131</v>
      </c>
      <c r="G49">
        <v>47.9</v>
      </c>
      <c r="H49">
        <v>2012</v>
      </c>
      <c r="I49" s="318">
        <v>27</v>
      </c>
      <c r="J49" s="318">
        <v>2016</v>
      </c>
      <c r="K49" s="318">
        <v>25</v>
      </c>
      <c r="L49" s="318">
        <v>2012</v>
      </c>
      <c r="M49" s="318">
        <v>21.3</v>
      </c>
      <c r="N49" s="318">
        <v>2012</v>
      </c>
    </row>
    <row r="50" spans="1:14" x14ac:dyDescent="0.2">
      <c r="A50" s="316" t="s">
        <v>1045</v>
      </c>
      <c r="B50" s="316">
        <v>2023</v>
      </c>
      <c r="C50" s="316" t="s">
        <v>1046</v>
      </c>
      <c r="D50" s="316" t="s">
        <v>131</v>
      </c>
      <c r="E50" s="316" t="s">
        <v>131</v>
      </c>
      <c r="F50" s="316" t="s">
        <v>131</v>
      </c>
      <c r="G50"/>
      <c r="H50">
        <v>2021</v>
      </c>
      <c r="J50" s="318">
        <v>2021</v>
      </c>
      <c r="L50" s="318">
        <v>2020</v>
      </c>
      <c r="N50" s="318">
        <v>2020</v>
      </c>
    </row>
    <row r="51" spans="1:14" x14ac:dyDescent="0.2">
      <c r="A51" s="316" t="s">
        <v>623</v>
      </c>
      <c r="B51" s="316">
        <v>2023</v>
      </c>
      <c r="C51" s="316" t="s">
        <v>624</v>
      </c>
      <c r="D51" s="317"/>
      <c r="E51" s="317"/>
      <c r="F51" s="317"/>
      <c r="G51"/>
      <c r="H51">
        <v>2021</v>
      </c>
      <c r="I51" s="318">
        <v>29.4</v>
      </c>
      <c r="J51" s="318">
        <v>2019</v>
      </c>
      <c r="L51" s="318">
        <v>2020</v>
      </c>
      <c r="N51" s="318">
        <v>2020</v>
      </c>
    </row>
    <row r="52" spans="1:14" x14ac:dyDescent="0.2">
      <c r="A52" s="316" t="s">
        <v>1016</v>
      </c>
      <c r="B52" s="316">
        <v>2023</v>
      </c>
      <c r="C52" s="316" t="s">
        <v>1017</v>
      </c>
      <c r="D52" s="317"/>
      <c r="E52" s="317"/>
      <c r="F52" s="317"/>
      <c r="G52"/>
      <c r="H52">
        <v>2021</v>
      </c>
      <c r="J52" s="318">
        <v>2021</v>
      </c>
      <c r="L52" s="318">
        <v>2020</v>
      </c>
      <c r="N52" s="318">
        <v>2020</v>
      </c>
    </row>
    <row r="53" spans="1:14" x14ac:dyDescent="0.2">
      <c r="A53" s="316" t="s">
        <v>625</v>
      </c>
      <c r="B53" s="316">
        <v>2023</v>
      </c>
      <c r="C53" s="316" t="s">
        <v>626</v>
      </c>
      <c r="D53" s="316" t="s">
        <v>131</v>
      </c>
      <c r="E53" s="316" t="s">
        <v>131</v>
      </c>
      <c r="F53" s="316" t="s">
        <v>131</v>
      </c>
      <c r="G53"/>
      <c r="H53">
        <v>2021</v>
      </c>
      <c r="J53" s="318">
        <v>2021</v>
      </c>
      <c r="L53" s="318">
        <v>2020</v>
      </c>
      <c r="N53" s="318">
        <v>2020</v>
      </c>
    </row>
    <row r="54" spans="1:14" x14ac:dyDescent="0.2">
      <c r="A54" s="316" t="s">
        <v>1020</v>
      </c>
      <c r="B54" s="316">
        <v>2023</v>
      </c>
      <c r="C54" s="316" t="s">
        <v>569</v>
      </c>
      <c r="D54" s="316" t="s">
        <v>131</v>
      </c>
      <c r="E54" s="316" t="s">
        <v>131</v>
      </c>
      <c r="F54" s="316" t="s">
        <v>131</v>
      </c>
      <c r="G54"/>
      <c r="H54">
        <v>2021</v>
      </c>
      <c r="J54" s="318">
        <v>2021</v>
      </c>
      <c r="L54" s="318">
        <v>2020</v>
      </c>
      <c r="N54" s="318">
        <v>2020</v>
      </c>
    </row>
    <row r="55" spans="1:14" x14ac:dyDescent="0.2">
      <c r="A55" s="316" t="s">
        <v>1024</v>
      </c>
      <c r="B55" s="316">
        <v>2023</v>
      </c>
      <c r="C55" s="316" t="s">
        <v>1025</v>
      </c>
      <c r="D55" s="316" t="s">
        <v>131</v>
      </c>
      <c r="E55" s="316" t="s">
        <v>131</v>
      </c>
      <c r="F55" s="316" t="s">
        <v>131</v>
      </c>
      <c r="G55"/>
      <c r="H55">
        <v>2021</v>
      </c>
      <c r="I55" s="318">
        <v>0.7</v>
      </c>
      <c r="J55" s="318">
        <v>2021</v>
      </c>
      <c r="L55" s="318">
        <v>2020</v>
      </c>
      <c r="N55" s="318">
        <v>2020</v>
      </c>
    </row>
    <row r="56" spans="1:14" x14ac:dyDescent="0.2">
      <c r="A56" s="316" t="s">
        <v>214</v>
      </c>
      <c r="B56" s="316">
        <v>2023</v>
      </c>
      <c r="C56" s="316" t="s">
        <v>215</v>
      </c>
      <c r="D56" s="316" t="s">
        <v>131</v>
      </c>
      <c r="E56" s="316" t="s">
        <v>131</v>
      </c>
      <c r="F56" s="316" t="s">
        <v>131</v>
      </c>
      <c r="G56"/>
      <c r="H56">
        <v>2021</v>
      </c>
      <c r="I56" s="318">
        <v>5.3</v>
      </c>
      <c r="J56" s="318">
        <v>2012</v>
      </c>
      <c r="L56" s="318">
        <v>2020</v>
      </c>
      <c r="N56" s="318">
        <v>2020</v>
      </c>
    </row>
    <row r="57" spans="1:14" x14ac:dyDescent="0.2">
      <c r="A57" s="316" t="s">
        <v>1023</v>
      </c>
      <c r="B57" s="316">
        <v>2023</v>
      </c>
      <c r="C57" s="316" t="s">
        <v>727</v>
      </c>
      <c r="D57" s="316" t="s">
        <v>131</v>
      </c>
      <c r="E57" s="316" t="s">
        <v>130</v>
      </c>
      <c r="F57" s="316" t="s">
        <v>130</v>
      </c>
      <c r="G57"/>
      <c r="H57">
        <v>2021</v>
      </c>
      <c r="J57" s="318">
        <v>2021</v>
      </c>
      <c r="L57" s="318">
        <v>2020</v>
      </c>
      <c r="N57" s="318">
        <v>2020</v>
      </c>
    </row>
    <row r="58" spans="1:14" x14ac:dyDescent="0.2">
      <c r="A58" s="316" t="s">
        <v>223</v>
      </c>
      <c r="B58" s="316">
        <v>2023</v>
      </c>
      <c r="C58" s="316" t="s">
        <v>224</v>
      </c>
      <c r="D58" s="316" t="s">
        <v>131</v>
      </c>
      <c r="E58" s="316" t="s">
        <v>131</v>
      </c>
      <c r="F58" s="316" t="s">
        <v>131</v>
      </c>
      <c r="G58">
        <v>2.2999999999999998</v>
      </c>
      <c r="H58">
        <v>2013</v>
      </c>
      <c r="I58" s="318">
        <v>31.5</v>
      </c>
      <c r="J58" s="318">
        <v>2019</v>
      </c>
      <c r="K58" s="318">
        <v>30.5</v>
      </c>
      <c r="L58" s="318">
        <v>2013</v>
      </c>
      <c r="M58" s="318">
        <v>25.6</v>
      </c>
      <c r="N58" s="318">
        <v>2013</v>
      </c>
    </row>
    <row r="59" spans="1:14" x14ac:dyDescent="0.2">
      <c r="A59" s="316" t="s">
        <v>235</v>
      </c>
      <c r="B59" s="316">
        <v>2023</v>
      </c>
      <c r="C59" s="316" t="s">
        <v>236</v>
      </c>
      <c r="D59" s="316" t="s">
        <v>131</v>
      </c>
      <c r="E59" s="316" t="s">
        <v>131</v>
      </c>
      <c r="F59" s="316" t="s">
        <v>131</v>
      </c>
      <c r="G59"/>
      <c r="H59">
        <v>2021</v>
      </c>
      <c r="I59" s="318">
        <v>22.2</v>
      </c>
      <c r="J59" s="318">
        <v>2018</v>
      </c>
      <c r="L59" s="318">
        <v>2020</v>
      </c>
      <c r="N59" s="318">
        <v>2020</v>
      </c>
    </row>
    <row r="60" spans="1:14" x14ac:dyDescent="0.2">
      <c r="A60" s="316" t="s">
        <v>1026</v>
      </c>
      <c r="B60" s="316">
        <v>2023</v>
      </c>
      <c r="C60" s="316" t="s">
        <v>238</v>
      </c>
      <c r="D60" s="316" t="s">
        <v>131</v>
      </c>
      <c r="E60" s="316" t="s">
        <v>131</v>
      </c>
      <c r="F60" s="316" t="s">
        <v>131</v>
      </c>
      <c r="G60">
        <v>35.700000000000003</v>
      </c>
      <c r="H60">
        <v>2014</v>
      </c>
      <c r="I60" s="318">
        <v>17.399999999999999</v>
      </c>
      <c r="J60" s="318">
        <v>2014</v>
      </c>
      <c r="K60" s="318">
        <v>25.2</v>
      </c>
      <c r="L60" s="318">
        <v>2014</v>
      </c>
      <c r="M60" s="318">
        <v>13.5</v>
      </c>
      <c r="N60" s="318">
        <v>2014</v>
      </c>
    </row>
    <row r="61" spans="1:14" x14ac:dyDescent="0.2">
      <c r="A61" s="316" t="s">
        <v>114</v>
      </c>
      <c r="B61" s="316">
        <v>2023</v>
      </c>
      <c r="C61" s="316" t="s">
        <v>115</v>
      </c>
      <c r="D61" s="316" t="s">
        <v>131</v>
      </c>
      <c r="E61" s="316" t="s">
        <v>131</v>
      </c>
      <c r="F61" s="316" t="s">
        <v>131</v>
      </c>
      <c r="G61"/>
      <c r="H61">
        <v>2021</v>
      </c>
      <c r="I61" s="318">
        <v>25.5</v>
      </c>
      <c r="J61" s="318">
        <v>2014</v>
      </c>
      <c r="L61" s="318">
        <v>2020</v>
      </c>
      <c r="N61" s="318">
        <v>2020</v>
      </c>
    </row>
    <row r="62" spans="1:14" x14ac:dyDescent="0.2">
      <c r="A62" s="316" t="s">
        <v>628</v>
      </c>
      <c r="B62" s="316">
        <v>2023</v>
      </c>
      <c r="C62" s="316" t="s">
        <v>629</v>
      </c>
      <c r="D62" s="316" t="s">
        <v>130</v>
      </c>
      <c r="E62" s="316" t="s">
        <v>131</v>
      </c>
      <c r="F62" s="316" t="s">
        <v>131</v>
      </c>
      <c r="G62"/>
      <c r="H62">
        <v>2021</v>
      </c>
      <c r="I62" s="318">
        <v>29.5</v>
      </c>
      <c r="J62" s="318">
        <v>2011</v>
      </c>
      <c r="L62" s="318">
        <v>2020</v>
      </c>
      <c r="N62" s="318">
        <v>2020</v>
      </c>
    </row>
    <row r="63" spans="1:14" x14ac:dyDescent="0.2">
      <c r="A63" s="316" t="s">
        <v>241</v>
      </c>
      <c r="B63" s="316">
        <v>2023</v>
      </c>
      <c r="C63" s="316" t="s">
        <v>242</v>
      </c>
      <c r="D63" s="316" t="s">
        <v>130</v>
      </c>
      <c r="E63" s="316" t="s">
        <v>131</v>
      </c>
      <c r="F63" s="316" t="s">
        <v>131</v>
      </c>
      <c r="G63"/>
      <c r="H63">
        <v>2021</v>
      </c>
      <c r="I63" s="318">
        <v>40.700000000000003</v>
      </c>
      <c r="J63" s="318">
        <v>2010</v>
      </c>
      <c r="L63" s="318">
        <v>2020</v>
      </c>
      <c r="N63" s="318">
        <v>2020</v>
      </c>
    </row>
    <row r="64" spans="1:14" x14ac:dyDescent="0.2">
      <c r="A64" s="316" t="s">
        <v>570</v>
      </c>
      <c r="B64" s="316">
        <v>2023</v>
      </c>
      <c r="C64" s="316" t="s">
        <v>571</v>
      </c>
      <c r="D64" s="316" t="s">
        <v>130</v>
      </c>
      <c r="E64" s="316" t="s">
        <v>131</v>
      </c>
      <c r="F64" s="316" t="s">
        <v>131</v>
      </c>
      <c r="G64"/>
      <c r="H64">
        <v>2021</v>
      </c>
      <c r="J64" s="318">
        <v>2021</v>
      </c>
      <c r="L64" s="318">
        <v>2020</v>
      </c>
      <c r="N64" s="318">
        <v>2020</v>
      </c>
    </row>
    <row r="65" spans="1:14" x14ac:dyDescent="0.2">
      <c r="A65" s="316" t="s">
        <v>469</v>
      </c>
      <c r="B65" s="316">
        <v>2023</v>
      </c>
      <c r="C65" s="316" t="s">
        <v>470</v>
      </c>
      <c r="D65" s="316" t="s">
        <v>131</v>
      </c>
      <c r="E65" s="316" t="s">
        <v>130</v>
      </c>
      <c r="F65" s="316" t="s">
        <v>130</v>
      </c>
      <c r="G65"/>
      <c r="H65">
        <v>2021</v>
      </c>
      <c r="I65" s="318">
        <v>5.3</v>
      </c>
      <c r="J65" s="318">
        <v>2014</v>
      </c>
      <c r="L65" s="318">
        <v>2020</v>
      </c>
      <c r="N65" s="318">
        <v>2020</v>
      </c>
    </row>
    <row r="66" spans="1:14" x14ac:dyDescent="0.2">
      <c r="A66" s="316" t="s">
        <v>61</v>
      </c>
      <c r="B66" s="316">
        <v>2023</v>
      </c>
      <c r="C66" s="316" t="s">
        <v>62</v>
      </c>
      <c r="D66" s="316" t="s">
        <v>131</v>
      </c>
      <c r="E66" s="316" t="s">
        <v>131</v>
      </c>
      <c r="F66" s="316" t="s">
        <v>131</v>
      </c>
      <c r="G66">
        <v>63</v>
      </c>
      <c r="H66">
        <v>2016</v>
      </c>
      <c r="I66" s="318">
        <v>40.299999999999997</v>
      </c>
      <c r="J66" s="318">
        <v>2016</v>
      </c>
      <c r="K66" s="318">
        <v>24</v>
      </c>
      <c r="L66" s="318">
        <v>2016</v>
      </c>
      <c r="M66" s="318">
        <v>20.2</v>
      </c>
      <c r="N66" s="318">
        <v>2016</v>
      </c>
    </row>
    <row r="67" spans="1:14" x14ac:dyDescent="0.2">
      <c r="A67" s="316" t="s">
        <v>1031</v>
      </c>
      <c r="B67" s="316">
        <v>2023</v>
      </c>
      <c r="C67" s="316" t="s">
        <v>1032</v>
      </c>
      <c r="D67" s="317"/>
      <c r="E67" s="317"/>
      <c r="F67" s="317"/>
      <c r="G67"/>
      <c r="H67">
        <v>2021</v>
      </c>
      <c r="J67" s="318">
        <v>2021</v>
      </c>
      <c r="L67" s="318">
        <v>2020</v>
      </c>
      <c r="N67" s="318">
        <v>2020</v>
      </c>
    </row>
    <row r="68" spans="1:14" x14ac:dyDescent="0.2">
      <c r="A68" s="316" t="s">
        <v>630</v>
      </c>
      <c r="B68" s="316">
        <v>2023</v>
      </c>
      <c r="C68" s="316" t="s">
        <v>631</v>
      </c>
      <c r="D68" s="316" t="s">
        <v>131</v>
      </c>
      <c r="E68" s="316" t="s">
        <v>131</v>
      </c>
      <c r="F68" s="316" t="s">
        <v>131</v>
      </c>
      <c r="G68"/>
      <c r="H68">
        <v>2021</v>
      </c>
      <c r="I68" s="318">
        <v>4</v>
      </c>
      <c r="J68" s="318">
        <v>2021</v>
      </c>
      <c r="L68" s="318">
        <v>2020</v>
      </c>
      <c r="N68" s="318">
        <v>2020</v>
      </c>
    </row>
    <row r="69" spans="1:14" x14ac:dyDescent="0.2">
      <c r="A69" s="316" t="s">
        <v>1027</v>
      </c>
      <c r="B69" s="316">
        <v>2023</v>
      </c>
      <c r="C69" s="316" t="s">
        <v>1028</v>
      </c>
      <c r="D69" s="316" t="s">
        <v>131</v>
      </c>
      <c r="E69" s="316" t="s">
        <v>131</v>
      </c>
      <c r="F69" s="316" t="s">
        <v>131</v>
      </c>
      <c r="G69"/>
      <c r="H69">
        <v>2021</v>
      </c>
      <c r="I69" s="318">
        <v>0.1</v>
      </c>
      <c r="J69" s="318">
        <v>2021</v>
      </c>
      <c r="L69" s="318">
        <v>2020</v>
      </c>
      <c r="N69" s="318">
        <v>2020</v>
      </c>
    </row>
    <row r="70" spans="1:14" x14ac:dyDescent="0.2">
      <c r="A70" s="316" t="s">
        <v>1029</v>
      </c>
      <c r="B70" s="316">
        <v>2023</v>
      </c>
      <c r="C70" s="316" t="s">
        <v>1030</v>
      </c>
      <c r="D70" s="316" t="s">
        <v>131</v>
      </c>
      <c r="E70" s="316" t="s">
        <v>131</v>
      </c>
      <c r="F70" s="316" t="s">
        <v>131</v>
      </c>
      <c r="G70"/>
      <c r="H70">
        <v>2021</v>
      </c>
      <c r="J70" s="318">
        <v>2021</v>
      </c>
      <c r="L70" s="318">
        <v>2020</v>
      </c>
      <c r="N70" s="318">
        <v>2020</v>
      </c>
    </row>
    <row r="71" spans="1:14" x14ac:dyDescent="0.2">
      <c r="A71" s="316" t="s">
        <v>1098</v>
      </c>
      <c r="B71" s="316">
        <v>2023</v>
      </c>
      <c r="C71" s="316" t="s">
        <v>1099</v>
      </c>
      <c r="D71" s="317"/>
      <c r="E71" s="317"/>
      <c r="F71" s="317"/>
      <c r="G71"/>
      <c r="H71">
        <v>2021</v>
      </c>
      <c r="J71" s="318">
        <v>2021</v>
      </c>
      <c r="L71" s="318">
        <v>2020</v>
      </c>
      <c r="N71" s="318">
        <v>2020</v>
      </c>
    </row>
    <row r="72" spans="1:14" x14ac:dyDescent="0.2">
      <c r="A72" s="316" t="s">
        <v>632</v>
      </c>
      <c r="B72" s="316">
        <v>2023</v>
      </c>
      <c r="C72" s="316" t="s">
        <v>633</v>
      </c>
      <c r="D72" s="316" t="s">
        <v>131</v>
      </c>
      <c r="E72" s="316" t="s">
        <v>131</v>
      </c>
      <c r="F72" s="316" t="s">
        <v>131</v>
      </c>
      <c r="G72">
        <v>50.2</v>
      </c>
      <c r="H72">
        <v>2012</v>
      </c>
      <c r="I72" s="318">
        <v>21.9</v>
      </c>
      <c r="J72" s="318">
        <v>2012</v>
      </c>
      <c r="K72" s="318">
        <v>46.2</v>
      </c>
      <c r="L72" s="318">
        <v>2012</v>
      </c>
      <c r="M72" s="318">
        <v>28.5</v>
      </c>
      <c r="N72" s="318">
        <v>2012</v>
      </c>
    </row>
    <row r="73" spans="1:14" x14ac:dyDescent="0.2">
      <c r="A73" s="316" t="s">
        <v>1038</v>
      </c>
      <c r="B73" s="316">
        <v>2023</v>
      </c>
      <c r="C73" s="316" t="s">
        <v>635</v>
      </c>
      <c r="D73" s="316" t="s">
        <v>131</v>
      </c>
      <c r="E73" s="316" t="s">
        <v>130</v>
      </c>
      <c r="F73" s="316" t="s">
        <v>130</v>
      </c>
      <c r="G73">
        <v>51.4</v>
      </c>
      <c r="H73">
        <v>2020</v>
      </c>
      <c r="I73" s="318">
        <v>23.1</v>
      </c>
      <c r="J73" s="318">
        <v>2020</v>
      </c>
      <c r="K73" s="318">
        <v>29.1</v>
      </c>
      <c r="L73" s="318">
        <v>2020</v>
      </c>
      <c r="M73" s="318">
        <v>13.7</v>
      </c>
      <c r="N73" s="318">
        <v>2020</v>
      </c>
    </row>
    <row r="74" spans="1:14" x14ac:dyDescent="0.2">
      <c r="A74" s="316" t="s">
        <v>636</v>
      </c>
      <c r="B74" s="316">
        <v>2023</v>
      </c>
      <c r="C74" s="316" t="s">
        <v>637</v>
      </c>
      <c r="D74" s="316" t="s">
        <v>131</v>
      </c>
      <c r="E74" s="316" t="s">
        <v>131</v>
      </c>
      <c r="F74" s="316" t="s">
        <v>131</v>
      </c>
      <c r="G74"/>
      <c r="H74">
        <v>2021</v>
      </c>
      <c r="I74" s="318">
        <v>13.9</v>
      </c>
      <c r="J74" s="318">
        <v>2018</v>
      </c>
      <c r="L74" s="318">
        <v>2020</v>
      </c>
      <c r="N74" s="318">
        <v>2020</v>
      </c>
    </row>
    <row r="75" spans="1:14" x14ac:dyDescent="0.2">
      <c r="A75" s="316" t="s">
        <v>1021</v>
      </c>
      <c r="B75" s="316">
        <v>2023</v>
      </c>
      <c r="C75" s="316" t="s">
        <v>1022</v>
      </c>
      <c r="D75" s="316" t="s">
        <v>131</v>
      </c>
      <c r="E75" s="316" t="s">
        <v>131</v>
      </c>
      <c r="F75" s="316" t="s">
        <v>131</v>
      </c>
      <c r="G75"/>
      <c r="H75">
        <v>2021</v>
      </c>
      <c r="J75" s="318">
        <v>2021</v>
      </c>
      <c r="L75" s="318">
        <v>2020</v>
      </c>
      <c r="N75" s="318">
        <v>2020</v>
      </c>
    </row>
    <row r="76" spans="1:14" x14ac:dyDescent="0.2">
      <c r="A76" s="316" t="s">
        <v>638</v>
      </c>
      <c r="B76" s="316">
        <v>2023</v>
      </c>
      <c r="C76" s="316" t="s">
        <v>639</v>
      </c>
      <c r="D76" s="316" t="s">
        <v>131</v>
      </c>
      <c r="E76" s="316" t="s">
        <v>131</v>
      </c>
      <c r="F76" s="316" t="s">
        <v>131</v>
      </c>
      <c r="G76">
        <v>28.3</v>
      </c>
      <c r="H76">
        <v>2014</v>
      </c>
      <c r="I76" s="318">
        <v>19.3</v>
      </c>
      <c r="J76" s="318">
        <v>2018</v>
      </c>
      <c r="L76" s="318">
        <v>2020</v>
      </c>
      <c r="N76" s="318">
        <v>2020</v>
      </c>
    </row>
    <row r="77" spans="1:14" x14ac:dyDescent="0.2">
      <c r="A77" s="316" t="s">
        <v>1036</v>
      </c>
      <c r="B77" s="316">
        <v>2023</v>
      </c>
      <c r="C77" s="316" t="s">
        <v>1037</v>
      </c>
      <c r="D77" s="317"/>
      <c r="E77" s="317"/>
      <c r="F77" s="317"/>
      <c r="G77"/>
      <c r="H77">
        <v>2021</v>
      </c>
      <c r="J77" s="318">
        <v>2021</v>
      </c>
      <c r="L77" s="318">
        <v>2020</v>
      </c>
      <c r="N77" s="318">
        <v>2020</v>
      </c>
    </row>
    <row r="78" spans="1:14" x14ac:dyDescent="0.2">
      <c r="A78" s="316" t="s">
        <v>257</v>
      </c>
      <c r="B78" s="316">
        <v>2023</v>
      </c>
      <c r="C78" s="316" t="s">
        <v>258</v>
      </c>
      <c r="D78" s="316" t="s">
        <v>131</v>
      </c>
      <c r="E78" s="316" t="s">
        <v>131</v>
      </c>
      <c r="F78" s="316" t="s">
        <v>131</v>
      </c>
      <c r="G78"/>
      <c r="H78">
        <v>2021</v>
      </c>
      <c r="J78" s="318">
        <v>2021</v>
      </c>
      <c r="L78" s="318">
        <v>2020</v>
      </c>
      <c r="N78" s="318">
        <v>2020</v>
      </c>
    </row>
    <row r="79" spans="1:14" x14ac:dyDescent="0.2">
      <c r="A79" s="316" t="s">
        <v>1039</v>
      </c>
      <c r="B79" s="316">
        <v>2023</v>
      </c>
      <c r="C79" s="316" t="s">
        <v>1040</v>
      </c>
      <c r="D79" s="317"/>
      <c r="E79" s="317"/>
      <c r="F79" s="317"/>
      <c r="G79"/>
      <c r="H79">
        <v>2021</v>
      </c>
      <c r="J79" s="318">
        <v>2021</v>
      </c>
      <c r="L79" s="318">
        <v>2020</v>
      </c>
      <c r="N79" s="318">
        <v>2020</v>
      </c>
    </row>
    <row r="80" spans="1:14" x14ac:dyDescent="0.2">
      <c r="A80" s="316" t="s">
        <v>728</v>
      </c>
      <c r="B80" s="316">
        <v>2023</v>
      </c>
      <c r="C80" s="316" t="s">
        <v>729</v>
      </c>
      <c r="D80" s="316" t="s">
        <v>131</v>
      </c>
      <c r="E80" s="316" t="s">
        <v>130</v>
      </c>
      <c r="F80" s="316" t="s">
        <v>130</v>
      </c>
      <c r="G80"/>
      <c r="H80">
        <v>2021</v>
      </c>
      <c r="J80" s="318">
        <v>2021</v>
      </c>
      <c r="L80" s="318">
        <v>2020</v>
      </c>
      <c r="N80" s="318">
        <v>2020</v>
      </c>
    </row>
    <row r="81" spans="1:14" x14ac:dyDescent="0.2">
      <c r="A81" s="316" t="s">
        <v>1041</v>
      </c>
      <c r="B81" s="316">
        <v>2023</v>
      </c>
      <c r="C81" s="316" t="s">
        <v>1042</v>
      </c>
      <c r="D81" s="317"/>
      <c r="E81" s="317"/>
      <c r="F81" s="317"/>
      <c r="G81"/>
      <c r="H81">
        <v>2021</v>
      </c>
      <c r="J81" s="318">
        <v>2021</v>
      </c>
      <c r="L81" s="318">
        <v>2020</v>
      </c>
      <c r="N81" s="318">
        <v>2020</v>
      </c>
    </row>
    <row r="82" spans="1:14" x14ac:dyDescent="0.2">
      <c r="A82" s="316" t="s">
        <v>102</v>
      </c>
      <c r="B82" s="316">
        <v>2023</v>
      </c>
      <c r="C82" s="316" t="s">
        <v>103</v>
      </c>
      <c r="D82" s="316" t="s">
        <v>131</v>
      </c>
      <c r="E82" s="316" t="s">
        <v>130</v>
      </c>
      <c r="F82" s="316" t="s">
        <v>130</v>
      </c>
      <c r="G82">
        <v>11</v>
      </c>
      <c r="H82">
        <v>2015</v>
      </c>
      <c r="I82" s="318">
        <v>29.5</v>
      </c>
      <c r="J82" s="318">
        <v>2015</v>
      </c>
      <c r="K82" s="318">
        <v>23.7</v>
      </c>
      <c r="L82" s="318">
        <v>2015</v>
      </c>
      <c r="M82" s="318">
        <v>14.4</v>
      </c>
      <c r="N82" s="318">
        <v>2015</v>
      </c>
    </row>
    <row r="83" spans="1:14" x14ac:dyDescent="0.2">
      <c r="A83" s="316" t="s">
        <v>640</v>
      </c>
      <c r="B83" s="316">
        <v>2023</v>
      </c>
      <c r="C83" s="316" t="s">
        <v>641</v>
      </c>
      <c r="D83" s="316" t="s">
        <v>130</v>
      </c>
      <c r="E83" s="316" t="s">
        <v>131</v>
      </c>
      <c r="F83" s="316" t="s">
        <v>131</v>
      </c>
      <c r="G83">
        <v>67.2</v>
      </c>
      <c r="H83">
        <v>2018</v>
      </c>
      <c r="I83" s="318">
        <v>46.5</v>
      </c>
      <c r="J83" s="318">
        <v>2018</v>
      </c>
      <c r="L83" s="318">
        <v>2020</v>
      </c>
      <c r="N83" s="318">
        <v>2020</v>
      </c>
    </row>
    <row r="84" spans="1:14" x14ac:dyDescent="0.2">
      <c r="A84" s="316" t="s">
        <v>642</v>
      </c>
      <c r="B84" s="316">
        <v>2023</v>
      </c>
      <c r="C84" s="316" t="s">
        <v>643</v>
      </c>
      <c r="D84" s="316" t="s">
        <v>131</v>
      </c>
      <c r="E84" s="316" t="s">
        <v>130</v>
      </c>
      <c r="F84" s="316" t="s">
        <v>130</v>
      </c>
      <c r="G84"/>
      <c r="H84">
        <v>2021</v>
      </c>
      <c r="I84" s="318">
        <v>25.7</v>
      </c>
      <c r="J84" s="318">
        <v>2019</v>
      </c>
      <c r="L84" s="318">
        <v>2020</v>
      </c>
      <c r="N84" s="318">
        <v>2020</v>
      </c>
    </row>
    <row r="85" spans="1:14" x14ac:dyDescent="0.2">
      <c r="A85" s="316" t="s">
        <v>644</v>
      </c>
      <c r="B85" s="316">
        <v>2023</v>
      </c>
      <c r="C85" s="316" t="s">
        <v>645</v>
      </c>
      <c r="D85" s="316" t="s">
        <v>131</v>
      </c>
      <c r="E85" s="316" t="s">
        <v>131</v>
      </c>
      <c r="F85" s="316" t="s">
        <v>131</v>
      </c>
      <c r="G85"/>
      <c r="H85">
        <v>2021</v>
      </c>
      <c r="I85" s="318">
        <v>30.2</v>
      </c>
      <c r="J85" s="318">
        <v>2020</v>
      </c>
      <c r="L85" s="318">
        <v>2020</v>
      </c>
      <c r="N85" s="318">
        <v>2020</v>
      </c>
    </row>
    <row r="86" spans="1:14" x14ac:dyDescent="0.2">
      <c r="A86" s="316" t="s">
        <v>71</v>
      </c>
      <c r="B86" s="316">
        <v>2023</v>
      </c>
      <c r="C86" s="316" t="s">
        <v>72</v>
      </c>
      <c r="D86" s="316" t="s">
        <v>130</v>
      </c>
      <c r="E86" s="316" t="s">
        <v>130</v>
      </c>
      <c r="F86" s="316" t="s">
        <v>130</v>
      </c>
      <c r="G86">
        <v>16.600000000000001</v>
      </c>
      <c r="H86">
        <v>2017</v>
      </c>
      <c r="I86" s="318">
        <v>14.9</v>
      </c>
      <c r="J86" s="318">
        <v>2017</v>
      </c>
      <c r="K86" s="318">
        <v>26.3</v>
      </c>
      <c r="L86" s="318">
        <v>2017</v>
      </c>
      <c r="M86" s="318">
        <v>17.8</v>
      </c>
      <c r="N86" s="318">
        <v>2017</v>
      </c>
    </row>
    <row r="87" spans="1:14" x14ac:dyDescent="0.2">
      <c r="A87" s="316" t="s">
        <v>108</v>
      </c>
      <c r="B87" s="316">
        <v>2023</v>
      </c>
      <c r="C87" s="316" t="s">
        <v>109</v>
      </c>
      <c r="D87" s="316" t="s">
        <v>131</v>
      </c>
      <c r="E87" s="316" t="s">
        <v>131</v>
      </c>
      <c r="F87" s="316" t="s">
        <v>131</v>
      </c>
      <c r="G87">
        <v>12.4</v>
      </c>
      <c r="H87">
        <v>2012</v>
      </c>
      <c r="I87" s="318">
        <v>34</v>
      </c>
      <c r="J87" s="318">
        <v>2019</v>
      </c>
      <c r="K87" s="318">
        <v>32.1</v>
      </c>
      <c r="L87" s="318">
        <v>2012</v>
      </c>
      <c r="M87" s="318">
        <v>20.6</v>
      </c>
      <c r="N87" s="318">
        <v>2012</v>
      </c>
    </row>
    <row r="88" spans="1:14" x14ac:dyDescent="0.2">
      <c r="A88" s="316" t="s">
        <v>1043</v>
      </c>
      <c r="B88" s="316">
        <v>2023</v>
      </c>
      <c r="C88" s="316" t="s">
        <v>1044</v>
      </c>
      <c r="D88" s="316" t="s">
        <v>131</v>
      </c>
      <c r="E88" s="316" t="s">
        <v>131</v>
      </c>
      <c r="F88" s="316" t="s">
        <v>131</v>
      </c>
      <c r="G88"/>
      <c r="H88">
        <v>2021</v>
      </c>
      <c r="J88" s="318">
        <v>2021</v>
      </c>
      <c r="L88" s="318">
        <v>2020</v>
      </c>
      <c r="N88" s="318">
        <v>2020</v>
      </c>
    </row>
    <row r="89" spans="1:14" x14ac:dyDescent="0.2">
      <c r="A89" s="316" t="s">
        <v>266</v>
      </c>
      <c r="B89" s="316">
        <v>2023</v>
      </c>
      <c r="C89" s="316" t="s">
        <v>267</v>
      </c>
      <c r="D89" s="316" t="s">
        <v>131</v>
      </c>
      <c r="E89" s="316" t="s">
        <v>131</v>
      </c>
      <c r="F89" s="316" t="s">
        <v>130</v>
      </c>
      <c r="G89"/>
      <c r="H89">
        <v>2021</v>
      </c>
      <c r="J89" s="318">
        <v>2021</v>
      </c>
      <c r="L89" s="318">
        <v>2020</v>
      </c>
      <c r="N89" s="318">
        <v>2020</v>
      </c>
    </row>
    <row r="90" spans="1:14" x14ac:dyDescent="0.2">
      <c r="A90" s="316" t="s">
        <v>1052</v>
      </c>
      <c r="B90" s="316">
        <v>2023</v>
      </c>
      <c r="C90" s="316" t="s">
        <v>1053</v>
      </c>
      <c r="D90" s="316" t="s">
        <v>131</v>
      </c>
      <c r="E90" s="316" t="s">
        <v>131</v>
      </c>
      <c r="F90" s="316" t="s">
        <v>131</v>
      </c>
      <c r="G90"/>
      <c r="H90">
        <v>2021</v>
      </c>
      <c r="J90" s="318">
        <v>2021</v>
      </c>
      <c r="L90" s="318">
        <v>2020</v>
      </c>
      <c r="N90" s="318">
        <v>2020</v>
      </c>
    </row>
    <row r="91" spans="1:14" x14ac:dyDescent="0.2">
      <c r="A91" s="316" t="s">
        <v>272</v>
      </c>
      <c r="B91" s="316">
        <v>2023</v>
      </c>
      <c r="C91" s="316" t="s">
        <v>273</v>
      </c>
      <c r="D91" s="316" t="s">
        <v>131</v>
      </c>
      <c r="E91" s="316" t="s">
        <v>131</v>
      </c>
      <c r="F91" s="316" t="s">
        <v>131</v>
      </c>
      <c r="G91">
        <v>44.4</v>
      </c>
      <c r="H91">
        <v>2021</v>
      </c>
      <c r="I91" s="318">
        <v>22.3</v>
      </c>
      <c r="J91" s="318">
        <v>2021</v>
      </c>
      <c r="K91" s="318">
        <v>27.4</v>
      </c>
      <c r="L91" s="318">
        <v>2016</v>
      </c>
      <c r="M91" s="318">
        <v>20.6</v>
      </c>
      <c r="N91" s="318">
        <v>2016</v>
      </c>
    </row>
    <row r="92" spans="1:14" x14ac:dyDescent="0.2">
      <c r="A92" s="316" t="s">
        <v>270</v>
      </c>
      <c r="B92" s="316">
        <v>2023</v>
      </c>
      <c r="C92" s="316" t="s">
        <v>271</v>
      </c>
      <c r="D92" s="316" t="s">
        <v>131</v>
      </c>
      <c r="E92" s="316" t="s">
        <v>131</v>
      </c>
      <c r="F92" s="316" t="s">
        <v>131</v>
      </c>
      <c r="G92">
        <v>32</v>
      </c>
      <c r="H92">
        <v>2017</v>
      </c>
      <c r="I92" s="318">
        <v>16.3</v>
      </c>
      <c r="J92" s="318">
        <v>2017</v>
      </c>
      <c r="L92" s="318">
        <v>2020</v>
      </c>
      <c r="N92" s="318">
        <v>2020</v>
      </c>
    </row>
    <row r="93" spans="1:14" x14ac:dyDescent="0.2">
      <c r="A93" s="316" t="s">
        <v>1051</v>
      </c>
      <c r="B93" s="316">
        <v>2023</v>
      </c>
      <c r="C93" s="316" t="s">
        <v>277</v>
      </c>
      <c r="D93" s="316" t="s">
        <v>130</v>
      </c>
      <c r="E93" s="316" t="s">
        <v>130</v>
      </c>
      <c r="F93" s="316" t="s">
        <v>130</v>
      </c>
      <c r="G93"/>
      <c r="H93">
        <v>2021</v>
      </c>
      <c r="I93" s="318">
        <v>16.7</v>
      </c>
      <c r="J93" s="318">
        <v>2010</v>
      </c>
      <c r="L93" s="318">
        <v>2020</v>
      </c>
      <c r="N93" s="318">
        <v>2020</v>
      </c>
    </row>
    <row r="94" spans="1:14" x14ac:dyDescent="0.2">
      <c r="A94" s="316" t="s">
        <v>110</v>
      </c>
      <c r="B94" s="316">
        <v>2023</v>
      </c>
      <c r="C94" s="316" t="s">
        <v>111</v>
      </c>
      <c r="D94" s="316" t="s">
        <v>130</v>
      </c>
      <c r="E94" s="316" t="s">
        <v>131</v>
      </c>
      <c r="F94" s="316" t="s">
        <v>131</v>
      </c>
      <c r="G94"/>
      <c r="H94">
        <v>2021</v>
      </c>
      <c r="I94" s="318">
        <v>27.9</v>
      </c>
      <c r="J94" s="318">
        <v>2018</v>
      </c>
      <c r="L94" s="318">
        <v>2020</v>
      </c>
      <c r="N94" s="318">
        <v>2020</v>
      </c>
    </row>
    <row r="95" spans="1:14" x14ac:dyDescent="0.2">
      <c r="A95" s="316" t="s">
        <v>1049</v>
      </c>
      <c r="B95" s="316">
        <v>2023</v>
      </c>
      <c r="C95" s="316" t="s">
        <v>1050</v>
      </c>
      <c r="D95" s="316" t="s">
        <v>131</v>
      </c>
      <c r="E95" s="316" t="s">
        <v>131</v>
      </c>
      <c r="F95" s="316" t="s">
        <v>131</v>
      </c>
      <c r="G95"/>
      <c r="H95">
        <v>2021</v>
      </c>
      <c r="J95" s="318">
        <v>2021</v>
      </c>
      <c r="L95" s="318">
        <v>2020</v>
      </c>
      <c r="N95" s="318">
        <v>2020</v>
      </c>
    </row>
    <row r="96" spans="1:14" x14ac:dyDescent="0.2">
      <c r="A96" s="316" t="s">
        <v>1047</v>
      </c>
      <c r="B96" s="316">
        <v>2023</v>
      </c>
      <c r="C96" s="316" t="s">
        <v>1048</v>
      </c>
      <c r="D96" s="317"/>
      <c r="E96" s="317"/>
      <c r="F96" s="317"/>
      <c r="G96"/>
      <c r="H96">
        <v>2021</v>
      </c>
      <c r="J96" s="318">
        <v>2021</v>
      </c>
      <c r="L96" s="318">
        <v>2020</v>
      </c>
      <c r="N96" s="318">
        <v>2020</v>
      </c>
    </row>
    <row r="97" spans="1:14" x14ac:dyDescent="0.2">
      <c r="A97" s="316" t="s">
        <v>1054</v>
      </c>
      <c r="B97" s="316">
        <v>2023</v>
      </c>
      <c r="C97" s="316" t="s">
        <v>649</v>
      </c>
      <c r="D97" s="316" t="s">
        <v>131</v>
      </c>
      <c r="E97" s="316" t="s">
        <v>131</v>
      </c>
      <c r="F97" s="316" t="s">
        <v>131</v>
      </c>
      <c r="G97"/>
      <c r="H97">
        <v>2021</v>
      </c>
      <c r="J97" s="318">
        <v>2021</v>
      </c>
      <c r="L97" s="318">
        <v>2020</v>
      </c>
      <c r="N97" s="318">
        <v>2020</v>
      </c>
    </row>
    <row r="98" spans="1:14" x14ac:dyDescent="0.2">
      <c r="A98" s="316" t="s">
        <v>285</v>
      </c>
      <c r="B98" s="316">
        <v>2023</v>
      </c>
      <c r="C98" s="316" t="s">
        <v>286</v>
      </c>
      <c r="D98" s="316" t="s">
        <v>131</v>
      </c>
      <c r="E98" s="316" t="s">
        <v>131</v>
      </c>
      <c r="F98" s="316" t="s">
        <v>131</v>
      </c>
      <c r="G98"/>
      <c r="H98">
        <v>2021</v>
      </c>
      <c r="J98" s="318">
        <v>2021</v>
      </c>
      <c r="L98" s="318">
        <v>2020</v>
      </c>
      <c r="N98" s="318">
        <v>2020</v>
      </c>
    </row>
    <row r="99" spans="1:14" x14ac:dyDescent="0.2">
      <c r="A99" s="316" t="s">
        <v>646</v>
      </c>
      <c r="B99" s="316">
        <v>2023</v>
      </c>
      <c r="C99" s="316" t="s">
        <v>647</v>
      </c>
      <c r="D99" s="316" t="s">
        <v>131</v>
      </c>
      <c r="E99" s="316" t="s">
        <v>131</v>
      </c>
      <c r="F99" s="316" t="s">
        <v>131</v>
      </c>
      <c r="G99"/>
      <c r="H99">
        <v>2021</v>
      </c>
      <c r="I99" s="318">
        <v>7.9</v>
      </c>
      <c r="J99" s="318">
        <v>2011</v>
      </c>
      <c r="L99" s="318">
        <v>2020</v>
      </c>
      <c r="N99" s="318">
        <v>2020</v>
      </c>
    </row>
    <row r="100" spans="1:14" x14ac:dyDescent="0.2">
      <c r="A100" s="316" t="s">
        <v>1055</v>
      </c>
      <c r="B100" s="316">
        <v>2023</v>
      </c>
      <c r="C100" s="316" t="s">
        <v>1056</v>
      </c>
      <c r="D100" s="316" t="s">
        <v>131</v>
      </c>
      <c r="E100" s="316" t="s">
        <v>130</v>
      </c>
      <c r="F100" s="316" t="s">
        <v>130</v>
      </c>
      <c r="G100"/>
      <c r="H100">
        <v>2021</v>
      </c>
      <c r="J100" s="318">
        <v>2021</v>
      </c>
      <c r="L100" s="318">
        <v>2020</v>
      </c>
      <c r="N100" s="318">
        <v>2020</v>
      </c>
    </row>
    <row r="101" spans="1:14" x14ac:dyDescent="0.2">
      <c r="A101" s="316" t="s">
        <v>289</v>
      </c>
      <c r="B101" s="316">
        <v>2023</v>
      </c>
      <c r="C101" s="316" t="s">
        <v>290</v>
      </c>
      <c r="D101" s="316" t="s">
        <v>131</v>
      </c>
      <c r="E101" s="316" t="s">
        <v>131</v>
      </c>
      <c r="F101" s="316" t="s">
        <v>131</v>
      </c>
      <c r="G101">
        <v>14.1</v>
      </c>
      <c r="H101">
        <v>2018</v>
      </c>
      <c r="I101" s="318">
        <v>9.6999999999999993</v>
      </c>
      <c r="J101" s="318">
        <v>2018</v>
      </c>
      <c r="K101" s="318">
        <v>20.6</v>
      </c>
      <c r="L101" s="318">
        <v>2018</v>
      </c>
      <c r="M101" s="318">
        <v>16.100000000000001</v>
      </c>
      <c r="N101" s="318">
        <v>2018</v>
      </c>
    </row>
    <row r="102" spans="1:14" x14ac:dyDescent="0.2">
      <c r="A102" s="316" t="s">
        <v>650</v>
      </c>
      <c r="B102" s="316">
        <v>2023</v>
      </c>
      <c r="C102" s="316" t="s">
        <v>651</v>
      </c>
      <c r="D102" s="316" t="s">
        <v>131</v>
      </c>
      <c r="E102" s="316" t="s">
        <v>130</v>
      </c>
      <c r="F102" s="316" t="s">
        <v>130</v>
      </c>
      <c r="G102"/>
      <c r="H102">
        <v>2021</v>
      </c>
      <c r="I102" s="318">
        <v>7</v>
      </c>
      <c r="J102" s="318">
        <v>2015</v>
      </c>
      <c r="L102" s="318">
        <v>2020</v>
      </c>
      <c r="N102" s="318">
        <v>2020</v>
      </c>
    </row>
    <row r="103" spans="1:14" x14ac:dyDescent="0.2">
      <c r="A103" s="316" t="s">
        <v>86</v>
      </c>
      <c r="B103" s="316">
        <v>2023</v>
      </c>
      <c r="C103" s="316" t="s">
        <v>87</v>
      </c>
      <c r="D103" s="316" t="s">
        <v>131</v>
      </c>
      <c r="E103" s="316" t="s">
        <v>131</v>
      </c>
      <c r="F103" s="316" t="s">
        <v>131</v>
      </c>
      <c r="G103">
        <v>41.8</v>
      </c>
      <c r="H103">
        <v>2014</v>
      </c>
      <c r="I103" s="318">
        <v>22.9</v>
      </c>
      <c r="J103" s="318">
        <v>2014</v>
      </c>
      <c r="K103" s="318">
        <v>36.9</v>
      </c>
      <c r="L103" s="318">
        <v>2014</v>
      </c>
      <c r="M103" s="318">
        <v>23.8</v>
      </c>
      <c r="N103" s="318">
        <v>2014</v>
      </c>
    </row>
    <row r="104" spans="1:14" x14ac:dyDescent="0.2">
      <c r="A104" s="316" t="s">
        <v>1058</v>
      </c>
      <c r="B104" s="316">
        <v>2023</v>
      </c>
      <c r="C104" s="316" t="s">
        <v>1059</v>
      </c>
      <c r="D104" s="316" t="s">
        <v>131</v>
      </c>
      <c r="E104" s="316" t="s">
        <v>131</v>
      </c>
      <c r="F104" s="316" t="s">
        <v>131</v>
      </c>
      <c r="G104"/>
      <c r="H104">
        <v>2021</v>
      </c>
      <c r="I104" s="318">
        <v>18.399999999999999</v>
      </c>
      <c r="J104" s="318">
        <v>2019</v>
      </c>
      <c r="L104" s="318">
        <v>2020</v>
      </c>
      <c r="N104" s="318">
        <v>2020</v>
      </c>
    </row>
    <row r="105" spans="1:14" x14ac:dyDescent="0.2">
      <c r="A105" s="316" t="s">
        <v>1094</v>
      </c>
      <c r="B105" s="316">
        <v>2023</v>
      </c>
      <c r="C105" s="316" t="s">
        <v>402</v>
      </c>
      <c r="D105" s="317"/>
      <c r="E105" s="317"/>
      <c r="F105" s="317"/>
      <c r="G105"/>
      <c r="H105">
        <v>2021</v>
      </c>
      <c r="I105" s="318">
        <v>0.1</v>
      </c>
      <c r="J105" s="318">
        <v>2017</v>
      </c>
      <c r="L105" s="318">
        <v>2020</v>
      </c>
      <c r="N105" s="318">
        <v>2020</v>
      </c>
    </row>
    <row r="106" spans="1:14" x14ac:dyDescent="0.2">
      <c r="A106" s="316" t="s">
        <v>1061</v>
      </c>
      <c r="B106" s="316">
        <v>2023</v>
      </c>
      <c r="C106" s="316" t="s">
        <v>1062</v>
      </c>
      <c r="D106" s="316" t="s">
        <v>131</v>
      </c>
      <c r="E106" s="316" t="s">
        <v>131</v>
      </c>
      <c r="F106" s="316" t="s">
        <v>131</v>
      </c>
      <c r="G106"/>
      <c r="H106">
        <v>2021</v>
      </c>
      <c r="J106" s="318">
        <v>2021</v>
      </c>
      <c r="L106" s="318">
        <v>2020</v>
      </c>
      <c r="N106" s="318">
        <v>2020</v>
      </c>
    </row>
    <row r="107" spans="1:14" x14ac:dyDescent="0.2">
      <c r="A107" s="316" t="s">
        <v>1128</v>
      </c>
      <c r="B107" s="316">
        <v>2023</v>
      </c>
      <c r="C107" s="316" t="s">
        <v>1129</v>
      </c>
      <c r="D107" s="316" t="s">
        <v>131</v>
      </c>
      <c r="E107" s="316" t="s">
        <v>131</v>
      </c>
      <c r="F107" s="316" t="s">
        <v>131</v>
      </c>
      <c r="G107"/>
      <c r="H107">
        <v>2021</v>
      </c>
      <c r="J107" s="318">
        <v>2021</v>
      </c>
      <c r="L107" s="318">
        <v>2020</v>
      </c>
      <c r="N107" s="318">
        <v>2020</v>
      </c>
    </row>
    <row r="108" spans="1:14" x14ac:dyDescent="0.2">
      <c r="A108" s="316" t="s">
        <v>653</v>
      </c>
      <c r="B108" s="316">
        <v>2023</v>
      </c>
      <c r="C108" s="316" t="s">
        <v>654</v>
      </c>
      <c r="D108" s="316" t="s">
        <v>131</v>
      </c>
      <c r="E108" s="316" t="s">
        <v>131</v>
      </c>
      <c r="F108" s="316" t="s">
        <v>131</v>
      </c>
      <c r="G108"/>
      <c r="H108">
        <v>2021</v>
      </c>
      <c r="J108" s="318">
        <v>2021</v>
      </c>
      <c r="L108" s="318">
        <v>2020</v>
      </c>
      <c r="N108" s="318">
        <v>2020</v>
      </c>
    </row>
    <row r="109" spans="1:14" x14ac:dyDescent="0.2">
      <c r="A109" s="316" t="s">
        <v>1057</v>
      </c>
      <c r="B109" s="316">
        <v>2023</v>
      </c>
      <c r="C109" s="316" t="s">
        <v>656</v>
      </c>
      <c r="D109" s="316" t="s">
        <v>131</v>
      </c>
      <c r="E109" s="316" t="s">
        <v>131</v>
      </c>
      <c r="F109" s="316" t="s">
        <v>131</v>
      </c>
      <c r="G109">
        <v>33.700000000000003</v>
      </c>
      <c r="H109">
        <v>2012</v>
      </c>
      <c r="I109" s="318">
        <v>12.9</v>
      </c>
      <c r="J109" s="318">
        <v>2018</v>
      </c>
      <c r="K109" s="318">
        <v>25.1</v>
      </c>
      <c r="L109" s="318">
        <v>2012</v>
      </c>
      <c r="M109" s="318">
        <v>16.899999999999999</v>
      </c>
      <c r="N109" s="318">
        <v>2012</v>
      </c>
    </row>
    <row r="110" spans="1:14" x14ac:dyDescent="0.2">
      <c r="A110" s="316" t="s">
        <v>1063</v>
      </c>
      <c r="B110" s="316">
        <v>2023</v>
      </c>
      <c r="C110" s="316" t="s">
        <v>573</v>
      </c>
      <c r="D110" s="316" t="s">
        <v>131</v>
      </c>
      <c r="E110" s="316" t="s">
        <v>131</v>
      </c>
      <c r="F110" s="316" t="s">
        <v>130</v>
      </c>
      <c r="G110"/>
      <c r="H110">
        <v>2021</v>
      </c>
      <c r="I110" s="318">
        <v>32.700000000000003</v>
      </c>
      <c r="J110" s="318">
        <v>2017</v>
      </c>
      <c r="L110" s="318">
        <v>2020</v>
      </c>
      <c r="N110" s="318">
        <v>2020</v>
      </c>
    </row>
    <row r="111" spans="1:14" x14ac:dyDescent="0.2">
      <c r="A111" s="316" t="s">
        <v>576</v>
      </c>
      <c r="B111" s="316">
        <v>2023</v>
      </c>
      <c r="C111" s="316" t="s">
        <v>577</v>
      </c>
      <c r="D111" s="316" t="s">
        <v>131</v>
      </c>
      <c r="E111" s="316" t="s">
        <v>131</v>
      </c>
      <c r="F111" s="316" t="s">
        <v>131</v>
      </c>
      <c r="G111"/>
      <c r="H111">
        <v>2021</v>
      </c>
      <c r="J111" s="318">
        <v>2021</v>
      </c>
      <c r="L111" s="318">
        <v>2020</v>
      </c>
      <c r="N111" s="318">
        <v>2020</v>
      </c>
    </row>
    <row r="112" spans="1:14" x14ac:dyDescent="0.2">
      <c r="A112" s="316" t="s">
        <v>112</v>
      </c>
      <c r="B112" s="316">
        <v>2023</v>
      </c>
      <c r="C112" s="316" t="s">
        <v>113</v>
      </c>
      <c r="D112" s="316" t="s">
        <v>131</v>
      </c>
      <c r="E112" s="316" t="s">
        <v>131</v>
      </c>
      <c r="F112" s="316" t="s">
        <v>131</v>
      </c>
      <c r="G112"/>
      <c r="H112">
        <v>2021</v>
      </c>
      <c r="I112" s="318">
        <v>6</v>
      </c>
      <c r="J112" s="318">
        <v>2016</v>
      </c>
      <c r="L112" s="318">
        <v>2020</v>
      </c>
      <c r="N112" s="318">
        <v>2020</v>
      </c>
    </row>
    <row r="113" spans="1:14" x14ac:dyDescent="0.2">
      <c r="A113" s="316" t="s">
        <v>308</v>
      </c>
      <c r="B113" s="316">
        <v>2023</v>
      </c>
      <c r="C113" s="316" t="s">
        <v>309</v>
      </c>
      <c r="D113" s="316" t="s">
        <v>131</v>
      </c>
      <c r="E113" s="316" t="s">
        <v>131</v>
      </c>
      <c r="F113" s="316" t="s">
        <v>130</v>
      </c>
      <c r="G113">
        <v>33.299999999999997</v>
      </c>
      <c r="H113">
        <v>2014</v>
      </c>
      <c r="I113" s="318">
        <v>16.399999999999999</v>
      </c>
      <c r="J113" s="318">
        <v>2018</v>
      </c>
      <c r="L113" s="318">
        <v>2020</v>
      </c>
      <c r="N113" s="318">
        <v>2020</v>
      </c>
    </row>
    <row r="114" spans="1:14" x14ac:dyDescent="0.2">
      <c r="A114" s="316" t="s">
        <v>657</v>
      </c>
      <c r="B114" s="316">
        <v>2023</v>
      </c>
      <c r="C114" s="316" t="s">
        <v>658</v>
      </c>
      <c r="D114" s="316" t="s">
        <v>131</v>
      </c>
      <c r="E114" s="316" t="s">
        <v>131</v>
      </c>
      <c r="F114" s="316" t="s">
        <v>131</v>
      </c>
      <c r="G114">
        <v>37</v>
      </c>
      <c r="H114">
        <v>2020</v>
      </c>
      <c r="I114" s="318">
        <v>24.9</v>
      </c>
      <c r="J114" s="318">
        <v>2020</v>
      </c>
      <c r="K114" s="318">
        <v>44.8</v>
      </c>
      <c r="L114" s="318">
        <v>2020</v>
      </c>
      <c r="M114" s="318">
        <v>35</v>
      </c>
      <c r="N114" s="318">
        <v>2020</v>
      </c>
    </row>
    <row r="115" spans="1:14" x14ac:dyDescent="0.2">
      <c r="A115" s="316" t="s">
        <v>84</v>
      </c>
      <c r="B115" s="316">
        <v>2023</v>
      </c>
      <c r="C115" s="316" t="s">
        <v>85</v>
      </c>
      <c r="D115" s="316" t="s">
        <v>130</v>
      </c>
      <c r="E115" s="316" t="s">
        <v>130</v>
      </c>
      <c r="F115" s="316" t="s">
        <v>130</v>
      </c>
      <c r="G115"/>
      <c r="H115">
        <v>2021</v>
      </c>
      <c r="J115" s="318">
        <v>2021</v>
      </c>
      <c r="L115" s="318">
        <v>2020</v>
      </c>
      <c r="N115" s="318">
        <v>2020</v>
      </c>
    </row>
    <row r="116" spans="1:14" x14ac:dyDescent="0.2">
      <c r="A116" s="316" t="s">
        <v>1066</v>
      </c>
      <c r="B116" s="316">
        <v>2023</v>
      </c>
      <c r="C116" s="316" t="s">
        <v>1067</v>
      </c>
      <c r="D116" s="317"/>
      <c r="E116" s="317"/>
      <c r="F116" s="317"/>
      <c r="G116"/>
      <c r="H116">
        <v>2021</v>
      </c>
      <c r="J116" s="318">
        <v>2021</v>
      </c>
      <c r="L116" s="318">
        <v>2020</v>
      </c>
      <c r="N116" s="318">
        <v>2020</v>
      </c>
    </row>
    <row r="117" spans="1:14" x14ac:dyDescent="0.2">
      <c r="A117" s="316" t="s">
        <v>574</v>
      </c>
      <c r="B117" s="316">
        <v>2023</v>
      </c>
      <c r="C117" s="316" t="s">
        <v>575</v>
      </c>
      <c r="D117" s="316" t="s">
        <v>131</v>
      </c>
      <c r="E117" s="316" t="s">
        <v>131</v>
      </c>
      <c r="F117" s="316" t="s">
        <v>131</v>
      </c>
      <c r="G117"/>
      <c r="H117">
        <v>2021</v>
      </c>
      <c r="I117" s="318">
        <v>0.4</v>
      </c>
      <c r="J117" s="318">
        <v>2020</v>
      </c>
      <c r="L117" s="318">
        <v>2020</v>
      </c>
      <c r="N117" s="318">
        <v>2020</v>
      </c>
    </row>
    <row r="118" spans="1:14" x14ac:dyDescent="0.2">
      <c r="A118" s="316" t="s">
        <v>1068</v>
      </c>
      <c r="B118" s="316">
        <v>2023</v>
      </c>
      <c r="C118" s="316" t="s">
        <v>1069</v>
      </c>
      <c r="D118" s="316" t="s">
        <v>131</v>
      </c>
      <c r="E118" s="316" t="s">
        <v>131</v>
      </c>
      <c r="F118" s="316" t="s">
        <v>131</v>
      </c>
      <c r="G118"/>
      <c r="H118">
        <v>2021</v>
      </c>
      <c r="J118" s="318">
        <v>2021</v>
      </c>
      <c r="L118" s="318">
        <v>2020</v>
      </c>
      <c r="N118" s="318">
        <v>2020</v>
      </c>
    </row>
    <row r="119" spans="1:14" x14ac:dyDescent="0.2">
      <c r="A119" s="316" t="s">
        <v>1070</v>
      </c>
      <c r="B119" s="316">
        <v>2023</v>
      </c>
      <c r="C119" s="316" t="s">
        <v>1071</v>
      </c>
      <c r="D119" s="317"/>
      <c r="E119" s="317"/>
      <c r="F119" s="317"/>
      <c r="G119"/>
      <c r="H119">
        <v>2021</v>
      </c>
      <c r="J119" s="318">
        <v>2021</v>
      </c>
      <c r="L119" s="318">
        <v>2020</v>
      </c>
      <c r="N119" s="318">
        <v>2020</v>
      </c>
    </row>
    <row r="120" spans="1:14" x14ac:dyDescent="0.2">
      <c r="A120" s="316" t="s">
        <v>81</v>
      </c>
      <c r="B120" s="316">
        <v>2023</v>
      </c>
      <c r="C120" s="316" t="s">
        <v>83</v>
      </c>
      <c r="D120" s="316" t="s">
        <v>131</v>
      </c>
      <c r="E120" s="316" t="s">
        <v>131</v>
      </c>
      <c r="F120" s="316" t="s">
        <v>131</v>
      </c>
      <c r="G120">
        <v>40.6</v>
      </c>
      <c r="H120">
        <v>2021</v>
      </c>
      <c r="I120" s="318">
        <v>38.799999999999997</v>
      </c>
      <c r="J120" s="318">
        <v>2021</v>
      </c>
      <c r="L120" s="318">
        <v>2020</v>
      </c>
      <c r="N120" s="318">
        <v>2020</v>
      </c>
    </row>
    <row r="121" spans="1:14" x14ac:dyDescent="0.2">
      <c r="A121" s="316" t="s">
        <v>106</v>
      </c>
      <c r="B121" s="316">
        <v>2023</v>
      </c>
      <c r="C121" s="316" t="s">
        <v>107</v>
      </c>
      <c r="D121" s="316" t="s">
        <v>131</v>
      </c>
      <c r="E121" s="316" t="s">
        <v>131</v>
      </c>
      <c r="F121" s="316" t="s">
        <v>131</v>
      </c>
      <c r="G121">
        <v>16.3</v>
      </c>
      <c r="H121">
        <v>2016</v>
      </c>
      <c r="I121" s="318">
        <v>42.1</v>
      </c>
      <c r="J121" s="318">
        <v>2016</v>
      </c>
      <c r="K121" s="318">
        <v>29.5</v>
      </c>
      <c r="L121" s="318">
        <v>2016</v>
      </c>
      <c r="M121" s="318">
        <v>23</v>
      </c>
      <c r="N121" s="318">
        <v>2016</v>
      </c>
    </row>
    <row r="122" spans="1:14" x14ac:dyDescent="0.2">
      <c r="A122" s="316" t="s">
        <v>353</v>
      </c>
      <c r="B122" s="316">
        <v>2023</v>
      </c>
      <c r="C122" s="316" t="s">
        <v>354</v>
      </c>
      <c r="D122" s="316" t="s">
        <v>131</v>
      </c>
      <c r="E122" s="316" t="s">
        <v>131</v>
      </c>
      <c r="F122" s="316" t="s">
        <v>130</v>
      </c>
      <c r="G122"/>
      <c r="H122">
        <v>2021</v>
      </c>
      <c r="J122" s="318">
        <v>2021</v>
      </c>
      <c r="L122" s="318">
        <v>2020</v>
      </c>
      <c r="N122" s="318">
        <v>2020</v>
      </c>
    </row>
    <row r="123" spans="1:14" x14ac:dyDescent="0.2">
      <c r="A123" s="316" t="s">
        <v>659</v>
      </c>
      <c r="B123" s="316">
        <v>2023</v>
      </c>
      <c r="C123" s="316" t="s">
        <v>660</v>
      </c>
      <c r="D123" s="316" t="s">
        <v>131</v>
      </c>
      <c r="E123" s="316" t="s">
        <v>131</v>
      </c>
      <c r="F123" s="316" t="s">
        <v>131</v>
      </c>
      <c r="G123">
        <v>22</v>
      </c>
      <c r="H123">
        <v>2017</v>
      </c>
      <c r="I123" s="318">
        <v>2.2000000000000002</v>
      </c>
      <c r="J123" s="318">
        <v>2017</v>
      </c>
      <c r="K123" s="318">
        <v>12.4</v>
      </c>
      <c r="L123" s="318">
        <v>2017</v>
      </c>
      <c r="M123" s="318">
        <v>7.6</v>
      </c>
      <c r="N123" s="318">
        <v>2017</v>
      </c>
    </row>
    <row r="124" spans="1:14" x14ac:dyDescent="0.2">
      <c r="A124" s="316" t="s">
        <v>65</v>
      </c>
      <c r="B124" s="316">
        <v>2023</v>
      </c>
      <c r="C124" s="316" t="s">
        <v>66</v>
      </c>
      <c r="D124" s="316" t="s">
        <v>130</v>
      </c>
      <c r="E124" s="316" t="s">
        <v>130</v>
      </c>
      <c r="F124" s="316" t="s">
        <v>130</v>
      </c>
      <c r="G124">
        <v>79.400000000000006</v>
      </c>
      <c r="H124">
        <v>2018</v>
      </c>
      <c r="I124" s="318">
        <v>53.7</v>
      </c>
      <c r="J124" s="318">
        <v>2018</v>
      </c>
      <c r="K124" s="318">
        <v>38.4</v>
      </c>
      <c r="L124" s="318">
        <v>2018</v>
      </c>
      <c r="M124" s="318">
        <v>28.1</v>
      </c>
      <c r="N124" s="318">
        <v>2018</v>
      </c>
    </row>
    <row r="125" spans="1:14" x14ac:dyDescent="0.2">
      <c r="A125" s="316" t="s">
        <v>1076</v>
      </c>
      <c r="B125" s="316">
        <v>2023</v>
      </c>
      <c r="C125" s="316" t="s">
        <v>1077</v>
      </c>
      <c r="D125" s="316" t="s">
        <v>131</v>
      </c>
      <c r="E125" s="316" t="s">
        <v>131</v>
      </c>
      <c r="F125" s="316" t="s">
        <v>131</v>
      </c>
      <c r="G125"/>
      <c r="H125">
        <v>2021</v>
      </c>
      <c r="J125" s="318">
        <v>2021</v>
      </c>
      <c r="L125" s="318">
        <v>2020</v>
      </c>
      <c r="N125" s="318">
        <v>2020</v>
      </c>
    </row>
    <row r="126" spans="1:14" x14ac:dyDescent="0.2">
      <c r="A126" s="316" t="s">
        <v>661</v>
      </c>
      <c r="B126" s="316">
        <v>2023</v>
      </c>
      <c r="C126" s="316" t="s">
        <v>662</v>
      </c>
      <c r="D126" s="316" t="s">
        <v>131</v>
      </c>
      <c r="E126" s="316" t="s">
        <v>130</v>
      </c>
      <c r="F126" s="316" t="s">
        <v>130</v>
      </c>
      <c r="G126"/>
      <c r="H126">
        <v>2021</v>
      </c>
      <c r="J126" s="318">
        <v>2021</v>
      </c>
      <c r="L126" s="318">
        <v>2020</v>
      </c>
      <c r="N126" s="318">
        <v>2020</v>
      </c>
    </row>
    <row r="127" spans="1:14" x14ac:dyDescent="0.2">
      <c r="A127" s="316" t="s">
        <v>345</v>
      </c>
      <c r="B127" s="316">
        <v>2023</v>
      </c>
      <c r="C127" s="316" t="s">
        <v>346</v>
      </c>
      <c r="D127" s="316" t="s">
        <v>130</v>
      </c>
      <c r="E127" s="316" t="s">
        <v>130</v>
      </c>
      <c r="F127" s="316" t="s">
        <v>130</v>
      </c>
      <c r="G127">
        <v>27.1</v>
      </c>
      <c r="H127">
        <v>2021</v>
      </c>
      <c r="I127" s="318">
        <v>36.6</v>
      </c>
      <c r="J127" s="318">
        <v>2021</v>
      </c>
      <c r="L127" s="318">
        <v>2020</v>
      </c>
      <c r="N127" s="318">
        <v>2020</v>
      </c>
    </row>
    <row r="128" spans="1:14" x14ac:dyDescent="0.2">
      <c r="A128" s="316" t="s">
        <v>663</v>
      </c>
      <c r="B128" s="316">
        <v>2023</v>
      </c>
      <c r="C128" s="316" t="s">
        <v>664</v>
      </c>
      <c r="D128" s="316" t="s">
        <v>131</v>
      </c>
      <c r="E128" s="316" t="s">
        <v>131</v>
      </c>
      <c r="F128" s="316" t="s">
        <v>131</v>
      </c>
      <c r="G128"/>
      <c r="H128">
        <v>2021</v>
      </c>
      <c r="J128" s="318">
        <v>2021</v>
      </c>
      <c r="L128" s="318">
        <v>2020</v>
      </c>
      <c r="N128" s="318">
        <v>2020</v>
      </c>
    </row>
    <row r="129" spans="1:14" x14ac:dyDescent="0.2">
      <c r="A129" s="316" t="s">
        <v>323</v>
      </c>
      <c r="B129" s="316">
        <v>2023</v>
      </c>
      <c r="C129" s="316" t="s">
        <v>324</v>
      </c>
      <c r="D129" s="316" t="s">
        <v>131</v>
      </c>
      <c r="E129" s="316" t="s">
        <v>131</v>
      </c>
      <c r="F129" s="316" t="s">
        <v>131</v>
      </c>
      <c r="G129"/>
      <c r="H129">
        <v>2021</v>
      </c>
      <c r="I129" s="318">
        <v>20.7</v>
      </c>
      <c r="J129" s="318">
        <v>2018</v>
      </c>
      <c r="L129" s="318">
        <v>2020</v>
      </c>
      <c r="N129" s="318">
        <v>2020</v>
      </c>
    </row>
    <row r="130" spans="1:14" x14ac:dyDescent="0.2">
      <c r="A130" s="316" t="s">
        <v>1033</v>
      </c>
      <c r="B130" s="316">
        <v>2023</v>
      </c>
      <c r="C130" s="316" t="s">
        <v>666</v>
      </c>
      <c r="D130" s="316" t="s">
        <v>131</v>
      </c>
      <c r="E130" s="316" t="s">
        <v>130</v>
      </c>
      <c r="F130" s="316" t="s">
        <v>130</v>
      </c>
      <c r="G130"/>
      <c r="H130">
        <v>2021</v>
      </c>
      <c r="J130" s="318">
        <v>2021</v>
      </c>
      <c r="L130" s="318">
        <v>2020</v>
      </c>
      <c r="N130" s="318">
        <v>2020</v>
      </c>
    </row>
    <row r="131" spans="1:14" x14ac:dyDescent="0.2">
      <c r="A131" s="316" t="s">
        <v>315</v>
      </c>
      <c r="B131" s="316">
        <v>2023</v>
      </c>
      <c r="C131" s="316" t="s">
        <v>316</v>
      </c>
      <c r="D131" s="316" t="s">
        <v>131</v>
      </c>
      <c r="E131" s="316" t="s">
        <v>131</v>
      </c>
      <c r="F131" s="316" t="s">
        <v>131</v>
      </c>
      <c r="G131"/>
      <c r="H131">
        <v>2021</v>
      </c>
      <c r="I131" s="318">
        <v>12.2</v>
      </c>
      <c r="J131" s="318">
        <v>2012</v>
      </c>
      <c r="L131" s="318">
        <v>2020</v>
      </c>
      <c r="N131" s="318">
        <v>2020</v>
      </c>
    </row>
    <row r="132" spans="1:14" x14ac:dyDescent="0.2">
      <c r="A132" s="316" t="s">
        <v>1074</v>
      </c>
      <c r="B132" s="316">
        <v>2023</v>
      </c>
      <c r="C132" s="316" t="s">
        <v>1075</v>
      </c>
      <c r="D132" s="317"/>
      <c r="E132" s="317"/>
      <c r="F132" s="317"/>
      <c r="G132"/>
      <c r="H132">
        <v>2021</v>
      </c>
      <c r="J132" s="318">
        <v>2021</v>
      </c>
      <c r="L132" s="318">
        <v>2020</v>
      </c>
      <c r="N132" s="318">
        <v>2020</v>
      </c>
    </row>
    <row r="133" spans="1:14" x14ac:dyDescent="0.2">
      <c r="A133" s="316" t="s">
        <v>667</v>
      </c>
      <c r="B133" s="316">
        <v>2023</v>
      </c>
      <c r="C133" s="316" t="s">
        <v>668</v>
      </c>
      <c r="D133" s="316" t="s">
        <v>131</v>
      </c>
      <c r="E133" s="316" t="s">
        <v>131</v>
      </c>
      <c r="F133" s="316" t="s">
        <v>131</v>
      </c>
      <c r="G133"/>
      <c r="H133">
        <v>2021</v>
      </c>
      <c r="I133" s="318">
        <v>12</v>
      </c>
      <c r="J133" s="318">
        <v>2018</v>
      </c>
      <c r="L133" s="318">
        <v>2020</v>
      </c>
      <c r="N133" s="318">
        <v>2020</v>
      </c>
    </row>
    <row r="134" spans="1:14" x14ac:dyDescent="0.2">
      <c r="A134" s="316" t="s">
        <v>669</v>
      </c>
      <c r="B134" s="316">
        <v>2023</v>
      </c>
      <c r="C134" s="316" t="s">
        <v>670</v>
      </c>
      <c r="D134" s="316" t="s">
        <v>131</v>
      </c>
      <c r="E134" s="316" t="s">
        <v>131</v>
      </c>
      <c r="F134" s="316" t="s">
        <v>131</v>
      </c>
      <c r="G134"/>
      <c r="H134">
        <v>2021</v>
      </c>
      <c r="I134" s="318">
        <v>5.8</v>
      </c>
      <c r="J134" s="318">
        <v>2018</v>
      </c>
      <c r="L134" s="318">
        <v>2020</v>
      </c>
      <c r="N134" s="318">
        <v>2020</v>
      </c>
    </row>
    <row r="135" spans="1:14" x14ac:dyDescent="0.2">
      <c r="A135" s="316" t="s">
        <v>312</v>
      </c>
      <c r="B135" s="316">
        <v>2023</v>
      </c>
      <c r="C135" s="316" t="s">
        <v>313</v>
      </c>
      <c r="D135" s="316" t="s">
        <v>131</v>
      </c>
      <c r="E135" s="316" t="s">
        <v>131</v>
      </c>
      <c r="F135" s="316" t="s">
        <v>131</v>
      </c>
      <c r="G135"/>
      <c r="H135">
        <v>2021</v>
      </c>
      <c r="I135" s="318">
        <v>13.7</v>
      </c>
      <c r="J135" s="318">
        <v>2018</v>
      </c>
      <c r="L135" s="318">
        <v>2020</v>
      </c>
      <c r="N135" s="318">
        <v>2020</v>
      </c>
    </row>
    <row r="136" spans="1:14" x14ac:dyDescent="0.2">
      <c r="A136" s="316" t="s">
        <v>100</v>
      </c>
      <c r="B136" s="316">
        <v>2023</v>
      </c>
      <c r="C136" s="316" t="s">
        <v>101</v>
      </c>
      <c r="D136" s="316" t="s">
        <v>131</v>
      </c>
      <c r="E136" s="316" t="s">
        <v>131</v>
      </c>
      <c r="F136" s="316" t="s">
        <v>131</v>
      </c>
      <c r="G136">
        <v>13.3</v>
      </c>
      <c r="H136">
        <v>2015</v>
      </c>
      <c r="I136" s="318">
        <v>52.9</v>
      </c>
      <c r="J136" s="318">
        <v>2015</v>
      </c>
      <c r="K136" s="318">
        <v>18.100000000000001</v>
      </c>
      <c r="L136" s="318">
        <v>2015</v>
      </c>
      <c r="M136" s="318">
        <v>14.7</v>
      </c>
      <c r="N136" s="318">
        <v>2015</v>
      </c>
    </row>
    <row r="137" spans="1:14" x14ac:dyDescent="0.2">
      <c r="A137" s="316" t="s">
        <v>69</v>
      </c>
      <c r="B137" s="316">
        <v>2023</v>
      </c>
      <c r="C137" s="316" t="s">
        <v>70</v>
      </c>
      <c r="D137" s="316" t="s">
        <v>130</v>
      </c>
      <c r="E137" s="316" t="s">
        <v>130</v>
      </c>
      <c r="F137" s="316" t="s">
        <v>130</v>
      </c>
      <c r="G137">
        <v>51.2</v>
      </c>
      <c r="H137">
        <v>2016</v>
      </c>
      <c r="I137" s="318">
        <v>16</v>
      </c>
      <c r="J137" s="318">
        <v>2016</v>
      </c>
      <c r="K137" s="318">
        <v>15.4</v>
      </c>
      <c r="L137" s="318">
        <v>2016</v>
      </c>
      <c r="M137" s="318">
        <v>10.199999999999999</v>
      </c>
      <c r="N137" s="318">
        <v>2016</v>
      </c>
    </row>
    <row r="138" spans="1:14" x14ac:dyDescent="0.2">
      <c r="A138" s="316" t="s">
        <v>357</v>
      </c>
      <c r="B138" s="316">
        <v>2023</v>
      </c>
      <c r="C138" s="316" t="s">
        <v>358</v>
      </c>
      <c r="D138" s="316" t="s">
        <v>131</v>
      </c>
      <c r="E138" s="316" t="s">
        <v>131</v>
      </c>
      <c r="F138" s="316" t="s">
        <v>130</v>
      </c>
      <c r="G138">
        <v>28.2</v>
      </c>
      <c r="H138">
        <v>2013</v>
      </c>
      <c r="I138" s="318">
        <v>6.9</v>
      </c>
      <c r="J138" s="318">
        <v>2013</v>
      </c>
      <c r="K138" s="318">
        <v>25</v>
      </c>
      <c r="L138" s="318">
        <v>2013</v>
      </c>
      <c r="M138" s="318">
        <v>21</v>
      </c>
      <c r="N138" s="318">
        <v>2013</v>
      </c>
    </row>
    <row r="139" spans="1:14" x14ac:dyDescent="0.2">
      <c r="A139" s="316" t="s">
        <v>1086</v>
      </c>
      <c r="B139" s="316">
        <v>2023</v>
      </c>
      <c r="C139" s="316" t="s">
        <v>1087</v>
      </c>
      <c r="D139" s="317"/>
      <c r="E139" s="317"/>
      <c r="F139" s="317"/>
      <c r="G139"/>
      <c r="H139">
        <v>2021</v>
      </c>
      <c r="J139" s="318">
        <v>2021</v>
      </c>
      <c r="L139" s="318">
        <v>2020</v>
      </c>
      <c r="N139" s="318">
        <v>2020</v>
      </c>
    </row>
    <row r="140" spans="1:14" x14ac:dyDescent="0.2">
      <c r="A140" s="316" t="s">
        <v>671</v>
      </c>
      <c r="B140" s="316">
        <v>2023</v>
      </c>
      <c r="C140" s="316" t="s">
        <v>672</v>
      </c>
      <c r="D140" s="316" t="s">
        <v>131</v>
      </c>
      <c r="E140" s="316" t="s">
        <v>131</v>
      </c>
      <c r="F140" s="316" t="s">
        <v>131</v>
      </c>
      <c r="G140">
        <v>28.5</v>
      </c>
      <c r="H140">
        <v>2016</v>
      </c>
      <c r="I140" s="318">
        <v>32.799999999999997</v>
      </c>
      <c r="J140" s="318">
        <v>2019</v>
      </c>
      <c r="K140" s="318">
        <v>22.8</v>
      </c>
      <c r="L140" s="318">
        <v>2016</v>
      </c>
      <c r="M140" s="318">
        <v>10</v>
      </c>
      <c r="N140" s="318">
        <v>2016</v>
      </c>
    </row>
    <row r="141" spans="1:14" x14ac:dyDescent="0.2">
      <c r="A141" s="316" t="s">
        <v>1082</v>
      </c>
      <c r="B141" s="316">
        <v>2023</v>
      </c>
      <c r="C141" s="316" t="s">
        <v>1083</v>
      </c>
      <c r="D141" s="316" t="s">
        <v>131</v>
      </c>
      <c r="E141" s="316" t="s">
        <v>131</v>
      </c>
      <c r="F141" s="316" t="s">
        <v>131</v>
      </c>
      <c r="G141"/>
      <c r="H141">
        <v>2021</v>
      </c>
      <c r="J141" s="318">
        <v>2021</v>
      </c>
      <c r="L141" s="318">
        <v>2020</v>
      </c>
      <c r="N141" s="318">
        <v>2020</v>
      </c>
    </row>
    <row r="142" spans="1:14" x14ac:dyDescent="0.2">
      <c r="A142" s="316" t="s">
        <v>1080</v>
      </c>
      <c r="B142" s="316">
        <v>2023</v>
      </c>
      <c r="C142" s="316" t="s">
        <v>1081</v>
      </c>
      <c r="D142" s="317"/>
      <c r="E142" s="317"/>
      <c r="F142" s="317"/>
      <c r="G142"/>
      <c r="H142">
        <v>2021</v>
      </c>
      <c r="J142" s="318">
        <v>2021</v>
      </c>
      <c r="L142" s="318">
        <v>2020</v>
      </c>
      <c r="N142" s="318">
        <v>2020</v>
      </c>
    </row>
    <row r="143" spans="1:14" x14ac:dyDescent="0.2">
      <c r="A143" s="316" t="s">
        <v>1088</v>
      </c>
      <c r="B143" s="316">
        <v>2023</v>
      </c>
      <c r="C143" s="316" t="s">
        <v>1089</v>
      </c>
      <c r="D143" s="316" t="s">
        <v>131</v>
      </c>
      <c r="E143" s="316" t="s">
        <v>131</v>
      </c>
      <c r="F143" s="316" t="s">
        <v>131</v>
      </c>
      <c r="G143"/>
      <c r="H143">
        <v>2021</v>
      </c>
      <c r="J143" s="318">
        <v>2021</v>
      </c>
      <c r="L143" s="318">
        <v>2020</v>
      </c>
      <c r="N143" s="318">
        <v>2020</v>
      </c>
    </row>
    <row r="144" spans="1:14" x14ac:dyDescent="0.2">
      <c r="A144" s="316" t="s">
        <v>377</v>
      </c>
      <c r="B144" s="316">
        <v>2023</v>
      </c>
      <c r="C144" s="316" t="s">
        <v>378</v>
      </c>
      <c r="D144" s="316" t="s">
        <v>131</v>
      </c>
      <c r="E144" s="316" t="s">
        <v>131</v>
      </c>
      <c r="F144" s="316" t="s">
        <v>131</v>
      </c>
      <c r="G144"/>
      <c r="H144">
        <v>2021</v>
      </c>
      <c r="I144" s="318">
        <v>35.200000000000003</v>
      </c>
      <c r="J144" s="318">
        <v>2012</v>
      </c>
      <c r="L144" s="318">
        <v>2020</v>
      </c>
      <c r="N144" s="318">
        <v>2020</v>
      </c>
    </row>
    <row r="145" spans="1:14" x14ac:dyDescent="0.2">
      <c r="A145" s="316" t="s">
        <v>90</v>
      </c>
      <c r="B145" s="316">
        <v>2023</v>
      </c>
      <c r="C145" s="316" t="s">
        <v>91</v>
      </c>
      <c r="D145" s="316" t="s">
        <v>130</v>
      </c>
      <c r="E145" s="316" t="s">
        <v>131</v>
      </c>
      <c r="F145" s="316" t="s">
        <v>131</v>
      </c>
      <c r="G145">
        <v>59.6</v>
      </c>
      <c r="H145">
        <v>2012</v>
      </c>
      <c r="I145" s="318">
        <v>76.3</v>
      </c>
      <c r="J145" s="318">
        <v>2012</v>
      </c>
      <c r="L145" s="318">
        <v>2020</v>
      </c>
      <c r="N145" s="318">
        <v>2020</v>
      </c>
    </row>
    <row r="146" spans="1:14" x14ac:dyDescent="0.2">
      <c r="A146" s="316" t="s">
        <v>79</v>
      </c>
      <c r="B146" s="316">
        <v>2023</v>
      </c>
      <c r="C146" s="316" t="s">
        <v>80</v>
      </c>
      <c r="D146" s="316" t="s">
        <v>131</v>
      </c>
      <c r="E146" s="316" t="s">
        <v>131</v>
      </c>
      <c r="F146" s="316" t="s">
        <v>131</v>
      </c>
      <c r="G146">
        <v>28</v>
      </c>
      <c r="H146">
        <v>2018</v>
      </c>
      <c r="I146" s="318">
        <v>43.4</v>
      </c>
      <c r="J146" s="318">
        <v>2018</v>
      </c>
      <c r="K146" s="318">
        <v>31.7</v>
      </c>
      <c r="L146" s="318">
        <v>2018</v>
      </c>
      <c r="M146" s="318">
        <v>26.7</v>
      </c>
      <c r="N146" s="318">
        <v>2018</v>
      </c>
    </row>
    <row r="147" spans="1:14" x14ac:dyDescent="0.2">
      <c r="A147" s="316" t="s">
        <v>673</v>
      </c>
      <c r="B147" s="316">
        <v>2023</v>
      </c>
      <c r="C147" s="316" t="s">
        <v>674</v>
      </c>
      <c r="D147" s="316" t="s">
        <v>131</v>
      </c>
      <c r="E147" s="316" t="s">
        <v>131</v>
      </c>
      <c r="F147" s="316" t="s">
        <v>131</v>
      </c>
      <c r="G147"/>
      <c r="H147">
        <v>2021</v>
      </c>
      <c r="I147" s="318">
        <v>7.5</v>
      </c>
      <c r="J147" s="318">
        <v>2019</v>
      </c>
      <c r="L147" s="318">
        <v>2020</v>
      </c>
      <c r="N147" s="318">
        <v>2020</v>
      </c>
    </row>
    <row r="148" spans="1:14" x14ac:dyDescent="0.2">
      <c r="A148" s="316" t="s">
        <v>1078</v>
      </c>
      <c r="B148" s="316">
        <v>2023</v>
      </c>
      <c r="C148" s="316" t="s">
        <v>1079</v>
      </c>
      <c r="D148" s="317"/>
      <c r="E148" s="317"/>
      <c r="F148" s="317"/>
      <c r="G148"/>
      <c r="H148">
        <v>2021</v>
      </c>
      <c r="J148" s="318">
        <v>2021</v>
      </c>
      <c r="L148" s="318">
        <v>2020</v>
      </c>
      <c r="N148" s="318">
        <v>2020</v>
      </c>
    </row>
    <row r="149" spans="1:14" x14ac:dyDescent="0.2">
      <c r="A149" s="316" t="s">
        <v>1084</v>
      </c>
      <c r="B149" s="316">
        <v>2023</v>
      </c>
      <c r="C149" s="316" t="s">
        <v>1085</v>
      </c>
      <c r="D149" s="316" t="s">
        <v>131</v>
      </c>
      <c r="E149" s="316" t="s">
        <v>131</v>
      </c>
      <c r="F149" s="316" t="s">
        <v>131</v>
      </c>
      <c r="G149"/>
      <c r="H149">
        <v>2021</v>
      </c>
      <c r="I149" s="318">
        <v>0</v>
      </c>
      <c r="J149" s="318">
        <v>2021</v>
      </c>
      <c r="L149" s="318">
        <v>2020</v>
      </c>
      <c r="N149" s="318">
        <v>2020</v>
      </c>
    </row>
    <row r="150" spans="1:14" x14ac:dyDescent="0.2">
      <c r="A150" s="316" t="s">
        <v>1090</v>
      </c>
      <c r="B150" s="316">
        <v>2023</v>
      </c>
      <c r="C150" s="316" t="s">
        <v>1091</v>
      </c>
      <c r="D150" s="316" t="s">
        <v>130</v>
      </c>
      <c r="E150" s="316" t="s">
        <v>131</v>
      </c>
      <c r="F150" s="316" t="s">
        <v>130</v>
      </c>
      <c r="G150"/>
      <c r="H150">
        <v>2021</v>
      </c>
      <c r="I150" s="318">
        <v>4</v>
      </c>
      <c r="J150" s="318">
        <v>2014</v>
      </c>
      <c r="L150" s="318">
        <v>2020</v>
      </c>
      <c r="N150" s="318">
        <v>2020</v>
      </c>
    </row>
    <row r="151" spans="1:14" x14ac:dyDescent="0.2">
      <c r="A151" s="316" t="s">
        <v>73</v>
      </c>
      <c r="B151" s="316">
        <v>2023</v>
      </c>
      <c r="C151" s="316" t="s">
        <v>74</v>
      </c>
      <c r="D151" s="316" t="s">
        <v>131</v>
      </c>
      <c r="E151" s="316" t="s">
        <v>131</v>
      </c>
      <c r="F151" s="316" t="s">
        <v>131</v>
      </c>
      <c r="G151">
        <v>41.1</v>
      </c>
      <c r="H151">
        <v>2018</v>
      </c>
      <c r="I151" s="318">
        <v>18.3</v>
      </c>
      <c r="J151" s="318">
        <v>2018</v>
      </c>
      <c r="K151" s="318">
        <v>25.8</v>
      </c>
      <c r="L151" s="318">
        <v>2018</v>
      </c>
      <c r="M151" s="318">
        <v>20.6</v>
      </c>
      <c r="N151" s="318">
        <v>2018</v>
      </c>
    </row>
    <row r="152" spans="1:14" x14ac:dyDescent="0.2">
      <c r="A152" s="316" t="s">
        <v>677</v>
      </c>
      <c r="B152" s="316">
        <v>2023</v>
      </c>
      <c r="C152" s="316" t="s">
        <v>678</v>
      </c>
      <c r="D152" s="316" t="s">
        <v>131</v>
      </c>
      <c r="E152" s="316" t="s">
        <v>130</v>
      </c>
      <c r="F152" s="316" t="s">
        <v>130</v>
      </c>
      <c r="G152"/>
      <c r="H152">
        <v>2021</v>
      </c>
      <c r="J152" s="318">
        <v>2021</v>
      </c>
      <c r="L152" s="318">
        <v>2020</v>
      </c>
      <c r="N152" s="318">
        <v>2020</v>
      </c>
    </row>
    <row r="153" spans="1:14" x14ac:dyDescent="0.2">
      <c r="A153" s="316" t="s">
        <v>386</v>
      </c>
      <c r="B153" s="316">
        <v>2023</v>
      </c>
      <c r="C153" s="316" t="s">
        <v>387</v>
      </c>
      <c r="D153" s="316" t="s">
        <v>131</v>
      </c>
      <c r="E153" s="316" t="s">
        <v>131</v>
      </c>
      <c r="F153" s="316" t="s">
        <v>131</v>
      </c>
      <c r="G153"/>
      <c r="H153">
        <v>2021</v>
      </c>
      <c r="I153" s="318">
        <v>26.4</v>
      </c>
      <c r="J153" s="318">
        <v>2013</v>
      </c>
      <c r="L153" s="318">
        <v>2020</v>
      </c>
      <c r="N153" s="318">
        <v>2020</v>
      </c>
    </row>
    <row r="154" spans="1:14" x14ac:dyDescent="0.2">
      <c r="A154" s="316" t="s">
        <v>578</v>
      </c>
      <c r="B154" s="316">
        <v>2023</v>
      </c>
      <c r="C154" s="316" t="s">
        <v>579</v>
      </c>
      <c r="D154" s="316" t="s">
        <v>131</v>
      </c>
      <c r="E154" s="316" t="s">
        <v>130</v>
      </c>
      <c r="F154" s="316" t="s">
        <v>130</v>
      </c>
      <c r="G154">
        <v>69.8</v>
      </c>
      <c r="H154">
        <v>2018</v>
      </c>
      <c r="I154" s="318">
        <v>27.3</v>
      </c>
      <c r="J154" s="318">
        <v>2018</v>
      </c>
      <c r="K154" s="318">
        <v>54.4</v>
      </c>
      <c r="L154" s="318">
        <v>2018</v>
      </c>
      <c r="M154" s="318">
        <v>44.4</v>
      </c>
      <c r="N154" s="318">
        <v>2018</v>
      </c>
    </row>
    <row r="155" spans="1:14" x14ac:dyDescent="0.2">
      <c r="A155" s="316" t="s">
        <v>679</v>
      </c>
      <c r="B155" s="316">
        <v>2023</v>
      </c>
      <c r="C155" s="316" t="s">
        <v>680</v>
      </c>
      <c r="D155" s="316" t="s">
        <v>131</v>
      </c>
      <c r="E155" s="316" t="s">
        <v>131</v>
      </c>
      <c r="F155" s="316" t="s">
        <v>131</v>
      </c>
      <c r="G155"/>
      <c r="H155">
        <v>2021</v>
      </c>
      <c r="I155" s="318">
        <v>21.6</v>
      </c>
      <c r="J155" s="318">
        <v>2016</v>
      </c>
      <c r="L155" s="318">
        <v>2020</v>
      </c>
      <c r="N155" s="318">
        <v>2020</v>
      </c>
    </row>
    <row r="156" spans="1:14" x14ac:dyDescent="0.2">
      <c r="A156" s="316" t="s">
        <v>390</v>
      </c>
      <c r="B156" s="316">
        <v>2023</v>
      </c>
      <c r="C156" s="316" t="s">
        <v>391</v>
      </c>
      <c r="D156" s="316" t="s">
        <v>131</v>
      </c>
      <c r="E156" s="316" t="s">
        <v>131</v>
      </c>
      <c r="F156" s="316" t="s">
        <v>131</v>
      </c>
      <c r="G156">
        <v>3.5</v>
      </c>
      <c r="H156">
        <v>2012</v>
      </c>
      <c r="I156" s="318">
        <v>14.1</v>
      </c>
      <c r="J156" s="318">
        <v>2020</v>
      </c>
      <c r="K156" s="318">
        <v>36.4</v>
      </c>
      <c r="L156" s="318">
        <v>2012</v>
      </c>
      <c r="M156" s="318">
        <v>12.1</v>
      </c>
      <c r="N156" s="318">
        <v>2012</v>
      </c>
    </row>
    <row r="157" spans="1:14" x14ac:dyDescent="0.2">
      <c r="A157" s="316" t="s">
        <v>392</v>
      </c>
      <c r="B157" s="316">
        <v>2023</v>
      </c>
      <c r="C157" s="316" t="s">
        <v>393</v>
      </c>
      <c r="D157" s="316" t="s">
        <v>131</v>
      </c>
      <c r="E157" s="316" t="s">
        <v>131</v>
      </c>
      <c r="F157" s="316" t="s">
        <v>131</v>
      </c>
      <c r="G157">
        <v>10.9</v>
      </c>
      <c r="H157">
        <v>2017</v>
      </c>
      <c r="I157" s="318">
        <v>16.5</v>
      </c>
      <c r="J157" s="318">
        <v>2017</v>
      </c>
      <c r="K157" s="318">
        <v>20.399999999999999</v>
      </c>
      <c r="L157" s="318">
        <v>2017</v>
      </c>
      <c r="M157" s="318">
        <v>12.9</v>
      </c>
      <c r="N157" s="318">
        <v>2017</v>
      </c>
    </row>
    <row r="158" spans="1:14" x14ac:dyDescent="0.2">
      <c r="A158" s="316" t="s">
        <v>397</v>
      </c>
      <c r="B158" s="316">
        <v>2023</v>
      </c>
      <c r="C158" s="316" t="s">
        <v>398</v>
      </c>
      <c r="D158" s="316" t="s">
        <v>131</v>
      </c>
      <c r="E158" s="316" t="s">
        <v>131</v>
      </c>
      <c r="F158" s="316" t="s">
        <v>131</v>
      </c>
      <c r="G158"/>
      <c r="H158">
        <v>2021</v>
      </c>
      <c r="J158" s="318">
        <v>2021</v>
      </c>
      <c r="L158" s="318">
        <v>2020</v>
      </c>
      <c r="N158" s="318">
        <v>2020</v>
      </c>
    </row>
    <row r="159" spans="1:14" x14ac:dyDescent="0.2">
      <c r="A159" s="316" t="s">
        <v>1095</v>
      </c>
      <c r="B159" s="316">
        <v>2023</v>
      </c>
      <c r="C159" s="316" t="s">
        <v>1096</v>
      </c>
      <c r="D159" s="316" t="s">
        <v>131</v>
      </c>
      <c r="E159" s="316" t="s">
        <v>131</v>
      </c>
      <c r="F159" s="316" t="s">
        <v>131</v>
      </c>
      <c r="G159"/>
      <c r="H159">
        <v>2021</v>
      </c>
      <c r="J159" s="318">
        <v>2021</v>
      </c>
      <c r="L159" s="318">
        <v>2020</v>
      </c>
      <c r="N159" s="318">
        <v>2020</v>
      </c>
    </row>
    <row r="160" spans="1:14" x14ac:dyDescent="0.2">
      <c r="A160" s="316" t="s">
        <v>1092</v>
      </c>
      <c r="B160" s="316">
        <v>2023</v>
      </c>
      <c r="C160" s="316" t="s">
        <v>1093</v>
      </c>
      <c r="D160" s="316" t="s">
        <v>131</v>
      </c>
      <c r="E160" s="316" t="s">
        <v>131</v>
      </c>
      <c r="F160" s="316" t="s">
        <v>131</v>
      </c>
      <c r="G160"/>
      <c r="H160">
        <v>2021</v>
      </c>
      <c r="J160" s="318">
        <v>2021</v>
      </c>
      <c r="L160" s="318">
        <v>2020</v>
      </c>
      <c r="N160" s="318">
        <v>2020</v>
      </c>
    </row>
    <row r="161" spans="1:14" x14ac:dyDescent="0.2">
      <c r="A161" s="316" t="s">
        <v>1100</v>
      </c>
      <c r="B161" s="316">
        <v>2023</v>
      </c>
      <c r="C161" s="316" t="s">
        <v>1101</v>
      </c>
      <c r="D161" s="316" t="s">
        <v>130</v>
      </c>
      <c r="E161" s="316" t="s">
        <v>130</v>
      </c>
      <c r="F161" s="316" t="s">
        <v>130</v>
      </c>
      <c r="G161"/>
      <c r="H161">
        <v>2021</v>
      </c>
      <c r="I161" s="318">
        <v>4.2</v>
      </c>
      <c r="J161" s="318">
        <v>2012</v>
      </c>
      <c r="L161" s="318">
        <v>2020</v>
      </c>
      <c r="N161" s="318">
        <v>2020</v>
      </c>
    </row>
    <row r="162" spans="1:14" x14ac:dyDescent="0.2">
      <c r="A162" s="316" t="s">
        <v>442</v>
      </c>
      <c r="B162" s="316">
        <v>2023</v>
      </c>
      <c r="C162" s="316" t="s">
        <v>443</v>
      </c>
      <c r="D162" s="316" t="s">
        <v>131</v>
      </c>
      <c r="E162" s="316" t="s">
        <v>131</v>
      </c>
      <c r="F162" s="316" t="s">
        <v>131</v>
      </c>
      <c r="G162"/>
      <c r="H162">
        <v>2021</v>
      </c>
      <c r="J162" s="318">
        <v>2021</v>
      </c>
      <c r="L162" s="318">
        <v>2020</v>
      </c>
      <c r="N162" s="318">
        <v>2020</v>
      </c>
    </row>
    <row r="163" spans="1:14" x14ac:dyDescent="0.2">
      <c r="A163" s="316" t="s">
        <v>1102</v>
      </c>
      <c r="B163" s="316">
        <v>2023</v>
      </c>
      <c r="C163" s="316" t="s">
        <v>585</v>
      </c>
      <c r="D163" s="316" t="s">
        <v>130</v>
      </c>
      <c r="E163" s="316" t="s">
        <v>130</v>
      </c>
      <c r="F163" s="316" t="s">
        <v>130</v>
      </c>
      <c r="G163"/>
      <c r="H163">
        <v>2021</v>
      </c>
      <c r="I163" s="318">
        <v>6.2</v>
      </c>
      <c r="J163" s="318">
        <v>2017</v>
      </c>
      <c r="L163" s="318">
        <v>2020</v>
      </c>
      <c r="N163" s="318">
        <v>2020</v>
      </c>
    </row>
    <row r="164" spans="1:14" x14ac:dyDescent="0.2">
      <c r="A164" s="316" t="s">
        <v>446</v>
      </c>
      <c r="B164" s="316">
        <v>2023</v>
      </c>
      <c r="C164" s="316" t="s">
        <v>447</v>
      </c>
      <c r="D164" s="316" t="s">
        <v>131</v>
      </c>
      <c r="E164" s="316" t="s">
        <v>131</v>
      </c>
      <c r="F164" s="316" t="s">
        <v>131</v>
      </c>
      <c r="G164">
        <v>49.6</v>
      </c>
      <c r="H164">
        <v>2020</v>
      </c>
      <c r="I164" s="318">
        <v>5.5</v>
      </c>
      <c r="J164" s="318">
        <v>2020</v>
      </c>
      <c r="K164" s="318">
        <v>36.299999999999997</v>
      </c>
      <c r="L164" s="318">
        <v>2020</v>
      </c>
      <c r="M164" s="318">
        <v>23.6</v>
      </c>
      <c r="N164" s="318">
        <v>2020</v>
      </c>
    </row>
    <row r="165" spans="1:14" x14ac:dyDescent="0.2">
      <c r="A165" s="316" t="s">
        <v>683</v>
      </c>
      <c r="B165" s="316">
        <v>2023</v>
      </c>
      <c r="C165" s="316" t="s">
        <v>684</v>
      </c>
      <c r="D165" s="316" t="s">
        <v>131</v>
      </c>
      <c r="E165" s="316" t="s">
        <v>131</v>
      </c>
      <c r="F165" s="316" t="s">
        <v>131</v>
      </c>
      <c r="G165"/>
      <c r="H165">
        <v>2021</v>
      </c>
      <c r="I165" s="318">
        <v>7.4</v>
      </c>
      <c r="J165" s="318">
        <v>2020</v>
      </c>
      <c r="L165" s="318">
        <v>2020</v>
      </c>
      <c r="N165" s="318">
        <v>2020</v>
      </c>
    </row>
    <row r="166" spans="1:14" x14ac:dyDescent="0.2">
      <c r="A166" s="316" t="s">
        <v>1103</v>
      </c>
      <c r="B166" s="316">
        <v>2023</v>
      </c>
      <c r="C166" s="316" t="s">
        <v>1104</v>
      </c>
      <c r="D166" s="316" t="s">
        <v>131</v>
      </c>
      <c r="E166" s="316" t="s">
        <v>130</v>
      </c>
      <c r="F166" s="316" t="s">
        <v>130</v>
      </c>
      <c r="G166"/>
      <c r="H166">
        <v>2021</v>
      </c>
      <c r="J166" s="318">
        <v>2021</v>
      </c>
      <c r="L166" s="318">
        <v>2020</v>
      </c>
      <c r="N166" s="318">
        <v>2020</v>
      </c>
    </row>
    <row r="167" spans="1:14" x14ac:dyDescent="0.2">
      <c r="A167" s="316" t="s">
        <v>1105</v>
      </c>
      <c r="B167" s="316">
        <v>2023</v>
      </c>
      <c r="C167" s="316" t="s">
        <v>686</v>
      </c>
      <c r="D167" s="316" t="s">
        <v>131</v>
      </c>
      <c r="E167" s="316" t="s">
        <v>131</v>
      </c>
      <c r="F167" s="316" t="s">
        <v>131</v>
      </c>
      <c r="G167"/>
      <c r="H167">
        <v>2021</v>
      </c>
      <c r="I167" s="318">
        <v>28</v>
      </c>
      <c r="J167" s="318">
        <v>2019</v>
      </c>
      <c r="L167" s="318">
        <v>2020</v>
      </c>
      <c r="N167" s="318">
        <v>2020</v>
      </c>
    </row>
    <row r="168" spans="1:14" x14ac:dyDescent="0.2">
      <c r="A168" s="316" t="s">
        <v>687</v>
      </c>
      <c r="B168" s="316">
        <v>2023</v>
      </c>
      <c r="C168" s="316" t="s">
        <v>688</v>
      </c>
      <c r="D168" s="316" t="s">
        <v>131</v>
      </c>
      <c r="E168" s="316" t="s">
        <v>131</v>
      </c>
      <c r="F168" s="316" t="s">
        <v>131</v>
      </c>
      <c r="G168"/>
      <c r="H168">
        <v>2021</v>
      </c>
      <c r="J168" s="318">
        <v>2021</v>
      </c>
      <c r="L168" s="318">
        <v>2020</v>
      </c>
      <c r="N168" s="318">
        <v>2020</v>
      </c>
    </row>
    <row r="169" spans="1:14" x14ac:dyDescent="0.2">
      <c r="A169" s="316" t="s">
        <v>454</v>
      </c>
      <c r="B169" s="316">
        <v>2023</v>
      </c>
      <c r="C169" s="316" t="s">
        <v>455</v>
      </c>
      <c r="D169" s="316" t="s">
        <v>131</v>
      </c>
      <c r="E169" s="316" t="s">
        <v>131</v>
      </c>
      <c r="F169" s="316" t="s">
        <v>131</v>
      </c>
      <c r="G169">
        <v>39.1</v>
      </c>
      <c r="H169">
        <v>2019</v>
      </c>
      <c r="I169" s="318">
        <v>30.5</v>
      </c>
      <c r="J169" s="318">
        <v>2019</v>
      </c>
      <c r="K169" s="318">
        <v>11.5</v>
      </c>
      <c r="L169" s="318">
        <v>2019</v>
      </c>
      <c r="M169" s="318">
        <v>6.2</v>
      </c>
      <c r="N169" s="318">
        <v>2019</v>
      </c>
    </row>
    <row r="170" spans="1:14" x14ac:dyDescent="0.2">
      <c r="A170" s="316" t="s">
        <v>689</v>
      </c>
      <c r="B170" s="316">
        <v>2023</v>
      </c>
      <c r="C170" s="316" t="s">
        <v>690</v>
      </c>
      <c r="D170" s="316" t="s">
        <v>131</v>
      </c>
      <c r="E170" s="316" t="s">
        <v>131</v>
      </c>
      <c r="F170" s="316" t="s">
        <v>131</v>
      </c>
      <c r="G170"/>
      <c r="H170">
        <v>2021</v>
      </c>
      <c r="I170" s="318">
        <v>5.5</v>
      </c>
      <c r="J170" s="318">
        <v>2019</v>
      </c>
      <c r="L170" s="318">
        <v>2020</v>
      </c>
      <c r="N170" s="318">
        <v>2020</v>
      </c>
    </row>
    <row r="171" spans="1:14" x14ac:dyDescent="0.2">
      <c r="A171" s="316" t="s">
        <v>691</v>
      </c>
      <c r="B171" s="316">
        <v>2023</v>
      </c>
      <c r="C171" s="316" t="s">
        <v>692</v>
      </c>
      <c r="D171" s="316" t="s">
        <v>131</v>
      </c>
      <c r="E171" s="316" t="s">
        <v>130</v>
      </c>
      <c r="F171" s="316" t="s">
        <v>130</v>
      </c>
      <c r="G171"/>
      <c r="H171">
        <v>2021</v>
      </c>
      <c r="J171" s="318">
        <v>2021</v>
      </c>
      <c r="L171" s="318">
        <v>2020</v>
      </c>
      <c r="N171" s="318">
        <v>2020</v>
      </c>
    </row>
    <row r="172" spans="1:14" x14ac:dyDescent="0.2">
      <c r="A172" s="316" t="s">
        <v>693</v>
      </c>
      <c r="B172" s="316">
        <v>2023</v>
      </c>
      <c r="C172" s="316" t="s">
        <v>694</v>
      </c>
      <c r="D172" s="316" t="s">
        <v>131</v>
      </c>
      <c r="E172" s="316" t="s">
        <v>131</v>
      </c>
      <c r="F172" s="316" t="s">
        <v>131</v>
      </c>
      <c r="G172">
        <v>48.6</v>
      </c>
      <c r="H172">
        <v>2019</v>
      </c>
      <c r="I172" s="318">
        <v>29.6</v>
      </c>
      <c r="J172" s="318">
        <v>2019</v>
      </c>
      <c r="K172" s="318">
        <v>49.8</v>
      </c>
      <c r="L172" s="318">
        <v>2019</v>
      </c>
      <c r="M172" s="318">
        <v>38.4</v>
      </c>
      <c r="N172" s="318">
        <v>2019</v>
      </c>
    </row>
    <row r="173" spans="1:14" x14ac:dyDescent="0.2">
      <c r="A173" s="316" t="s">
        <v>695</v>
      </c>
      <c r="B173" s="316">
        <v>2023</v>
      </c>
      <c r="C173" s="316" t="s">
        <v>696</v>
      </c>
      <c r="D173" s="316" t="s">
        <v>131</v>
      </c>
      <c r="E173" s="316" t="s">
        <v>131</v>
      </c>
      <c r="F173" s="316" t="s">
        <v>131</v>
      </c>
      <c r="G173"/>
      <c r="H173">
        <v>2021</v>
      </c>
      <c r="I173" s="318">
        <v>0.1</v>
      </c>
      <c r="J173" s="318">
        <v>2021</v>
      </c>
      <c r="L173" s="318">
        <v>2020</v>
      </c>
      <c r="N173" s="318">
        <v>2020</v>
      </c>
    </row>
    <row r="174" spans="1:14" x14ac:dyDescent="0.2">
      <c r="A174" s="316" t="s">
        <v>1111</v>
      </c>
      <c r="B174" s="316">
        <v>2023</v>
      </c>
      <c r="C174" s="316" t="s">
        <v>1112</v>
      </c>
      <c r="D174" s="317"/>
      <c r="E174" s="317"/>
      <c r="F174" s="317"/>
      <c r="G174"/>
      <c r="H174">
        <v>2021</v>
      </c>
      <c r="J174" s="318">
        <v>2021</v>
      </c>
      <c r="L174" s="318">
        <v>2020</v>
      </c>
      <c r="N174" s="318">
        <v>2020</v>
      </c>
    </row>
    <row r="175" spans="1:14" x14ac:dyDescent="0.2">
      <c r="A175" s="316" t="s">
        <v>1106</v>
      </c>
      <c r="B175" s="316">
        <v>2023</v>
      </c>
      <c r="C175" s="316" t="s">
        <v>466</v>
      </c>
      <c r="D175" s="316" t="s">
        <v>131</v>
      </c>
      <c r="E175" s="316" t="s">
        <v>131</v>
      </c>
      <c r="F175" s="316" t="s">
        <v>131</v>
      </c>
      <c r="G175"/>
      <c r="H175">
        <v>2021</v>
      </c>
      <c r="J175" s="318">
        <v>2021</v>
      </c>
      <c r="L175" s="318">
        <v>2020</v>
      </c>
      <c r="N175" s="318">
        <v>2020</v>
      </c>
    </row>
    <row r="176" spans="1:14" x14ac:dyDescent="0.2">
      <c r="A176" s="316" t="s">
        <v>1107</v>
      </c>
      <c r="B176" s="316">
        <v>2023</v>
      </c>
      <c r="C176" s="316" t="s">
        <v>1108</v>
      </c>
      <c r="D176" s="316" t="s">
        <v>131</v>
      </c>
      <c r="E176" s="316" t="s">
        <v>131</v>
      </c>
      <c r="F176" s="316" t="s">
        <v>131</v>
      </c>
      <c r="G176"/>
      <c r="H176">
        <v>2021</v>
      </c>
      <c r="J176" s="318">
        <v>2021</v>
      </c>
      <c r="L176" s="318">
        <v>2020</v>
      </c>
      <c r="N176" s="318">
        <v>2020</v>
      </c>
    </row>
    <row r="177" spans="1:14" x14ac:dyDescent="0.2">
      <c r="A177" s="316" t="s">
        <v>697</v>
      </c>
      <c r="B177" s="316">
        <v>2023</v>
      </c>
      <c r="C177" s="316" t="s">
        <v>698</v>
      </c>
      <c r="D177" s="316" t="s">
        <v>131</v>
      </c>
      <c r="E177" s="316" t="s">
        <v>130</v>
      </c>
      <c r="F177" s="316" t="s">
        <v>130</v>
      </c>
      <c r="G177"/>
      <c r="H177">
        <v>2021</v>
      </c>
      <c r="I177" s="318">
        <v>21.3</v>
      </c>
      <c r="J177" s="318">
        <v>2015</v>
      </c>
      <c r="L177" s="318">
        <v>2020</v>
      </c>
      <c r="N177" s="318">
        <v>2020</v>
      </c>
    </row>
    <row r="178" spans="1:14" x14ac:dyDescent="0.2">
      <c r="A178" s="316" t="s">
        <v>57</v>
      </c>
      <c r="B178" s="316">
        <v>2023</v>
      </c>
      <c r="C178" s="316" t="s">
        <v>58</v>
      </c>
      <c r="D178" s="316" t="s">
        <v>130</v>
      </c>
      <c r="E178" s="316" t="s">
        <v>130</v>
      </c>
      <c r="F178" s="316" t="s">
        <v>130</v>
      </c>
      <c r="G178"/>
      <c r="H178">
        <v>2021</v>
      </c>
      <c r="J178" s="318">
        <v>2020</v>
      </c>
      <c r="L178" s="318">
        <v>2020</v>
      </c>
      <c r="N178" s="318">
        <v>2020</v>
      </c>
    </row>
    <row r="179" spans="1:14" x14ac:dyDescent="0.2">
      <c r="A179" s="316" t="s">
        <v>542</v>
      </c>
      <c r="B179" s="316">
        <v>2023</v>
      </c>
      <c r="C179" s="316" t="s">
        <v>699</v>
      </c>
      <c r="D179" s="316" t="s">
        <v>131</v>
      </c>
      <c r="E179" s="316" t="s">
        <v>131</v>
      </c>
      <c r="F179" s="316" t="s">
        <v>131</v>
      </c>
      <c r="G179">
        <v>5.5</v>
      </c>
      <c r="H179">
        <v>2016</v>
      </c>
      <c r="I179" s="318">
        <v>3.6</v>
      </c>
      <c r="J179" s="318">
        <v>2016</v>
      </c>
      <c r="K179" s="318">
        <v>14.4</v>
      </c>
      <c r="L179" s="318">
        <v>2016</v>
      </c>
      <c r="M179" s="318">
        <v>10.9</v>
      </c>
      <c r="N179" s="318">
        <v>2016</v>
      </c>
    </row>
    <row r="180" spans="1:14" x14ac:dyDescent="0.2">
      <c r="A180" s="316" t="s">
        <v>59</v>
      </c>
      <c r="B180" s="316">
        <v>2023</v>
      </c>
      <c r="C180" s="316" t="s">
        <v>60</v>
      </c>
      <c r="D180" s="316" t="s">
        <v>130</v>
      </c>
      <c r="E180" s="316" t="s">
        <v>131</v>
      </c>
      <c r="F180" s="316" t="s">
        <v>131</v>
      </c>
      <c r="G180"/>
      <c r="H180">
        <v>2021</v>
      </c>
      <c r="I180" s="318">
        <v>51.5</v>
      </c>
      <c r="J180" s="318">
        <v>2010</v>
      </c>
      <c r="L180" s="318">
        <v>2020</v>
      </c>
      <c r="N180" s="318">
        <v>2020</v>
      </c>
    </row>
    <row r="181" spans="1:14" x14ac:dyDescent="0.2">
      <c r="A181" s="316" t="s">
        <v>244</v>
      </c>
      <c r="B181" s="316">
        <v>2023</v>
      </c>
      <c r="C181" s="316" t="s">
        <v>245</v>
      </c>
      <c r="D181" s="316" t="s">
        <v>131</v>
      </c>
      <c r="E181" s="316" t="s">
        <v>131</v>
      </c>
      <c r="F181" s="316" t="s">
        <v>131</v>
      </c>
      <c r="G181"/>
      <c r="H181">
        <v>2021</v>
      </c>
      <c r="J181" s="318">
        <v>2021</v>
      </c>
      <c r="L181" s="318">
        <v>2020</v>
      </c>
      <c r="N181" s="318">
        <v>2020</v>
      </c>
    </row>
    <row r="182" spans="1:14" x14ac:dyDescent="0.2">
      <c r="A182" s="316" t="s">
        <v>306</v>
      </c>
      <c r="B182" s="316">
        <v>2023</v>
      </c>
      <c r="C182" s="316" t="s">
        <v>307</v>
      </c>
      <c r="D182" s="316" t="s">
        <v>131</v>
      </c>
      <c r="E182" s="316" t="s">
        <v>131</v>
      </c>
      <c r="F182" s="316" t="s">
        <v>131</v>
      </c>
      <c r="G182"/>
      <c r="H182">
        <v>2021</v>
      </c>
      <c r="I182" s="318">
        <v>9.8000000000000007</v>
      </c>
      <c r="J182" s="318">
        <v>2016</v>
      </c>
      <c r="L182" s="318">
        <v>2020</v>
      </c>
      <c r="N182" s="318">
        <v>2020</v>
      </c>
    </row>
    <row r="183" spans="1:14" x14ac:dyDescent="0.2">
      <c r="A183" s="316" t="s">
        <v>1060</v>
      </c>
      <c r="B183" s="316">
        <v>2023</v>
      </c>
      <c r="C183" s="316" t="s">
        <v>682</v>
      </c>
      <c r="D183" s="316" t="s">
        <v>131</v>
      </c>
      <c r="E183" s="316" t="s">
        <v>130</v>
      </c>
      <c r="F183" s="316" t="s">
        <v>130</v>
      </c>
      <c r="G183"/>
      <c r="H183">
        <v>2021</v>
      </c>
      <c r="J183" s="318">
        <v>2021</v>
      </c>
      <c r="L183" s="318">
        <v>2020</v>
      </c>
      <c r="N183" s="318">
        <v>2020</v>
      </c>
    </row>
    <row r="184" spans="1:14" x14ac:dyDescent="0.2">
      <c r="A184" s="316" t="s">
        <v>1064</v>
      </c>
      <c r="B184" s="316">
        <v>2023</v>
      </c>
      <c r="C184" s="316" t="s">
        <v>1065</v>
      </c>
      <c r="D184" s="316" t="s">
        <v>131</v>
      </c>
      <c r="E184" s="316" t="s">
        <v>131</v>
      </c>
      <c r="F184" s="316" t="s">
        <v>131</v>
      </c>
      <c r="G184"/>
      <c r="H184">
        <v>2021</v>
      </c>
      <c r="I184" s="318">
        <v>24</v>
      </c>
      <c r="J184" s="318">
        <v>2012</v>
      </c>
      <c r="L184" s="318">
        <v>2020</v>
      </c>
      <c r="N184" s="318">
        <v>2020</v>
      </c>
    </row>
    <row r="185" spans="1:14" x14ac:dyDescent="0.2">
      <c r="A185" s="316" t="s">
        <v>1072</v>
      </c>
      <c r="B185" s="316">
        <v>2023</v>
      </c>
      <c r="C185" s="316" t="s">
        <v>1073</v>
      </c>
      <c r="D185" s="317"/>
      <c r="E185" s="317"/>
      <c r="F185" s="317"/>
      <c r="G185"/>
      <c r="H185">
        <v>2021</v>
      </c>
      <c r="J185" s="318">
        <v>2021</v>
      </c>
      <c r="L185" s="318">
        <v>2020</v>
      </c>
      <c r="N185" s="318">
        <v>2020</v>
      </c>
    </row>
    <row r="186" spans="1:14" x14ac:dyDescent="0.2">
      <c r="A186" s="316" t="s">
        <v>1121</v>
      </c>
      <c r="B186" s="316">
        <v>2023</v>
      </c>
      <c r="C186" s="316" t="s">
        <v>1122</v>
      </c>
      <c r="D186" s="316" t="s">
        <v>131</v>
      </c>
      <c r="E186" s="316" t="s">
        <v>130</v>
      </c>
      <c r="F186" s="316" t="s">
        <v>130</v>
      </c>
      <c r="G186"/>
      <c r="H186">
        <v>2021</v>
      </c>
      <c r="J186" s="318">
        <v>2021</v>
      </c>
      <c r="L186" s="318">
        <v>2020</v>
      </c>
      <c r="N186" s="318">
        <v>2020</v>
      </c>
    </row>
    <row r="187" spans="1:14" x14ac:dyDescent="0.2">
      <c r="A187" s="316" t="s">
        <v>53</v>
      </c>
      <c r="B187" s="316">
        <v>2023</v>
      </c>
      <c r="C187" s="316" t="s">
        <v>54</v>
      </c>
      <c r="D187" s="316" t="s">
        <v>130</v>
      </c>
      <c r="E187" s="316" t="s">
        <v>130</v>
      </c>
      <c r="F187" s="316" t="s">
        <v>130</v>
      </c>
      <c r="G187"/>
      <c r="H187">
        <v>2021</v>
      </c>
      <c r="I187" s="318">
        <v>34.200000000000003</v>
      </c>
      <c r="J187" s="318">
        <v>2014</v>
      </c>
      <c r="L187" s="318">
        <v>2020</v>
      </c>
      <c r="N187" s="318">
        <v>2020</v>
      </c>
    </row>
    <row r="188" spans="1:14" x14ac:dyDescent="0.2">
      <c r="A188" s="316" t="s">
        <v>700</v>
      </c>
      <c r="B188" s="316">
        <v>2023</v>
      </c>
      <c r="C188" s="316" t="s">
        <v>701</v>
      </c>
      <c r="D188" s="316" t="s">
        <v>131</v>
      </c>
      <c r="E188" s="316" t="s">
        <v>131</v>
      </c>
      <c r="F188" s="316" t="s">
        <v>131</v>
      </c>
      <c r="G188"/>
      <c r="H188">
        <v>2021</v>
      </c>
      <c r="I188" s="318">
        <v>36</v>
      </c>
      <c r="J188" s="318">
        <v>2018</v>
      </c>
      <c r="L188" s="318">
        <v>2020</v>
      </c>
      <c r="N188" s="318">
        <v>2020</v>
      </c>
    </row>
    <row r="189" spans="1:14" x14ac:dyDescent="0.2">
      <c r="A189" s="316" t="s">
        <v>1109</v>
      </c>
      <c r="B189" s="316">
        <v>2023</v>
      </c>
      <c r="C189" s="316" t="s">
        <v>1110</v>
      </c>
      <c r="D189" s="316" t="s">
        <v>131</v>
      </c>
      <c r="E189" s="316" t="s">
        <v>131</v>
      </c>
      <c r="F189" s="316" t="s">
        <v>131</v>
      </c>
      <c r="G189"/>
      <c r="H189">
        <v>2021</v>
      </c>
      <c r="J189" s="318">
        <v>2021</v>
      </c>
      <c r="L189" s="318">
        <v>2020</v>
      </c>
      <c r="N189" s="318">
        <v>2020</v>
      </c>
    </row>
    <row r="190" spans="1:14" x14ac:dyDescent="0.2">
      <c r="A190" s="316" t="s">
        <v>1010</v>
      </c>
      <c r="B190" s="316">
        <v>2023</v>
      </c>
      <c r="C190" s="316" t="s">
        <v>1011</v>
      </c>
      <c r="D190" s="316" t="s">
        <v>131</v>
      </c>
      <c r="E190" s="316" t="s">
        <v>131</v>
      </c>
      <c r="F190" s="316" t="s">
        <v>131</v>
      </c>
      <c r="G190"/>
      <c r="H190">
        <v>2021</v>
      </c>
      <c r="J190" s="318">
        <v>2021</v>
      </c>
      <c r="L190" s="318">
        <v>2020</v>
      </c>
      <c r="N190" s="318">
        <v>2020</v>
      </c>
    </row>
    <row r="191" spans="1:14" x14ac:dyDescent="0.2">
      <c r="A191" s="316" t="s">
        <v>1113</v>
      </c>
      <c r="B191" s="316">
        <v>2023</v>
      </c>
      <c r="C191" s="316" t="s">
        <v>56</v>
      </c>
      <c r="D191" s="316" t="s">
        <v>130</v>
      </c>
      <c r="E191" s="316" t="s">
        <v>130</v>
      </c>
      <c r="F191" s="316" t="s">
        <v>130</v>
      </c>
      <c r="G191"/>
      <c r="H191">
        <v>2021</v>
      </c>
      <c r="J191" s="318">
        <v>2021</v>
      </c>
      <c r="L191" s="318">
        <v>2020</v>
      </c>
      <c r="N191" s="318">
        <v>2020</v>
      </c>
    </row>
    <row r="192" spans="1:14" x14ac:dyDescent="0.2">
      <c r="A192" s="316" t="s">
        <v>702</v>
      </c>
      <c r="B192" s="316">
        <v>2023</v>
      </c>
      <c r="C192" s="316" t="s">
        <v>703</v>
      </c>
      <c r="D192" s="316" t="s">
        <v>131</v>
      </c>
      <c r="E192" s="316" t="s">
        <v>130</v>
      </c>
      <c r="F192" s="316" t="s">
        <v>130</v>
      </c>
      <c r="G192">
        <v>63.6</v>
      </c>
      <c r="H192">
        <v>2017</v>
      </c>
      <c r="I192" s="318">
        <v>8.6999999999999993</v>
      </c>
      <c r="J192" s="318">
        <v>2017</v>
      </c>
      <c r="K192" s="318">
        <v>25.3</v>
      </c>
      <c r="L192" s="318">
        <v>2017</v>
      </c>
      <c r="M192" s="318">
        <v>18.7</v>
      </c>
      <c r="N192" s="318">
        <v>2017</v>
      </c>
    </row>
    <row r="193" spans="1:14" x14ac:dyDescent="0.2">
      <c r="A193" s="316" t="s">
        <v>503</v>
      </c>
      <c r="B193" s="316">
        <v>2023</v>
      </c>
      <c r="C193" s="316" t="s">
        <v>504</v>
      </c>
      <c r="D193" s="316" t="s">
        <v>130</v>
      </c>
      <c r="E193" s="316" t="s">
        <v>131</v>
      </c>
      <c r="F193" s="316" t="s">
        <v>131</v>
      </c>
      <c r="G193">
        <v>58</v>
      </c>
      <c r="H193">
        <v>2016</v>
      </c>
      <c r="I193" s="318">
        <v>30.5</v>
      </c>
      <c r="J193" s="318">
        <v>2016</v>
      </c>
      <c r="K193" s="318">
        <v>39.299999999999997</v>
      </c>
      <c r="L193" s="318">
        <v>2016</v>
      </c>
      <c r="M193" s="318">
        <v>28.1</v>
      </c>
      <c r="N193" s="318">
        <v>2016</v>
      </c>
    </row>
    <row r="194" spans="1:14" x14ac:dyDescent="0.2">
      <c r="A194" s="316" t="s">
        <v>480</v>
      </c>
      <c r="B194" s="316">
        <v>2023</v>
      </c>
      <c r="C194" s="316" t="s">
        <v>481</v>
      </c>
      <c r="D194" s="316" t="s">
        <v>131</v>
      </c>
      <c r="E194" s="316" t="s">
        <v>131</v>
      </c>
      <c r="F194" s="316" t="s">
        <v>131</v>
      </c>
      <c r="G194"/>
      <c r="H194">
        <v>2021</v>
      </c>
      <c r="I194" s="318">
        <v>20.2</v>
      </c>
      <c r="J194" s="318">
        <v>2019</v>
      </c>
      <c r="L194" s="318">
        <v>2020</v>
      </c>
      <c r="N194" s="318">
        <v>2020</v>
      </c>
    </row>
    <row r="195" spans="1:14" x14ac:dyDescent="0.2">
      <c r="A195" s="316" t="s">
        <v>704</v>
      </c>
      <c r="B195" s="316">
        <v>2023</v>
      </c>
      <c r="C195" s="316" t="s">
        <v>587</v>
      </c>
      <c r="D195" s="316" t="s">
        <v>131</v>
      </c>
      <c r="E195" s="316" t="s">
        <v>131</v>
      </c>
      <c r="F195" s="316" t="s">
        <v>130</v>
      </c>
      <c r="G195">
        <v>74</v>
      </c>
      <c r="H195">
        <v>2016</v>
      </c>
      <c r="I195" s="318">
        <v>14.9</v>
      </c>
      <c r="J195" s="318">
        <v>2016</v>
      </c>
      <c r="K195" s="318">
        <v>36.6</v>
      </c>
      <c r="L195" s="318">
        <v>2016</v>
      </c>
      <c r="M195" s="318">
        <v>33.1</v>
      </c>
      <c r="N195" s="318">
        <v>2016</v>
      </c>
    </row>
    <row r="196" spans="1:14" x14ac:dyDescent="0.2">
      <c r="A196" s="316" t="s">
        <v>705</v>
      </c>
      <c r="B196" s="316">
        <v>2023</v>
      </c>
      <c r="C196" s="316" t="s">
        <v>706</v>
      </c>
      <c r="D196" s="316" t="s">
        <v>131</v>
      </c>
      <c r="E196" s="316" t="s">
        <v>131</v>
      </c>
      <c r="F196" s="316" t="s">
        <v>131</v>
      </c>
      <c r="G196">
        <v>28.7</v>
      </c>
      <c r="H196">
        <v>2014</v>
      </c>
      <c r="I196" s="318">
        <v>24.8</v>
      </c>
      <c r="J196" s="318">
        <v>2017</v>
      </c>
      <c r="K196" s="318">
        <v>29.7</v>
      </c>
      <c r="L196" s="318">
        <v>2014</v>
      </c>
      <c r="M196" s="318">
        <v>24.1</v>
      </c>
      <c r="N196" s="318">
        <v>2014</v>
      </c>
    </row>
    <row r="197" spans="1:14" x14ac:dyDescent="0.2">
      <c r="A197" s="316" t="s">
        <v>484</v>
      </c>
      <c r="B197" s="316">
        <v>2023</v>
      </c>
      <c r="C197" s="316" t="s">
        <v>485</v>
      </c>
      <c r="D197" s="316" t="s">
        <v>131</v>
      </c>
      <c r="E197" s="316" t="s">
        <v>130</v>
      </c>
      <c r="F197" s="316" t="s">
        <v>130</v>
      </c>
      <c r="G197"/>
      <c r="H197">
        <v>2021</v>
      </c>
      <c r="I197" s="318">
        <v>10.1</v>
      </c>
      <c r="J197" s="318">
        <v>2019</v>
      </c>
      <c r="L197" s="318">
        <v>2020</v>
      </c>
      <c r="N197" s="318">
        <v>2020</v>
      </c>
    </row>
    <row r="198" spans="1:14" x14ac:dyDescent="0.2">
      <c r="A198" s="316" t="s">
        <v>488</v>
      </c>
      <c r="B198" s="316">
        <v>2023</v>
      </c>
      <c r="C198" s="316" t="s">
        <v>489</v>
      </c>
      <c r="D198" s="316" t="s">
        <v>131</v>
      </c>
      <c r="E198" s="316" t="s">
        <v>130</v>
      </c>
      <c r="F198" s="316" t="s">
        <v>130</v>
      </c>
      <c r="G198"/>
      <c r="H198">
        <v>2021</v>
      </c>
      <c r="I198" s="318">
        <v>11.2</v>
      </c>
      <c r="J198" s="318">
        <v>2011</v>
      </c>
      <c r="L198" s="318">
        <v>2020</v>
      </c>
      <c r="N198" s="318">
        <v>2020</v>
      </c>
    </row>
    <row r="199" spans="1:14" x14ac:dyDescent="0.2">
      <c r="A199" s="316" t="s">
        <v>492</v>
      </c>
      <c r="B199" s="316">
        <v>2023</v>
      </c>
      <c r="C199" s="316" t="s">
        <v>493</v>
      </c>
      <c r="D199" s="316" t="s">
        <v>131</v>
      </c>
      <c r="E199" s="316" t="s">
        <v>131</v>
      </c>
      <c r="F199" s="316" t="s">
        <v>131</v>
      </c>
      <c r="G199"/>
      <c r="H199">
        <v>2021</v>
      </c>
      <c r="I199" s="318">
        <v>1.5</v>
      </c>
      <c r="J199" s="318">
        <v>2018</v>
      </c>
      <c r="L199" s="318">
        <v>2020</v>
      </c>
      <c r="N199" s="318">
        <v>2020</v>
      </c>
    </row>
    <row r="200" spans="1:14" x14ac:dyDescent="0.2">
      <c r="A200" s="316" t="s">
        <v>1116</v>
      </c>
      <c r="B200" s="316">
        <v>2023</v>
      </c>
      <c r="C200" s="316" t="s">
        <v>496</v>
      </c>
      <c r="D200" s="316" t="s">
        <v>131</v>
      </c>
      <c r="E200" s="316" t="s">
        <v>131</v>
      </c>
      <c r="F200" s="316" t="s">
        <v>131</v>
      </c>
      <c r="G200">
        <v>13.3</v>
      </c>
      <c r="H200">
        <v>2013</v>
      </c>
      <c r="I200" s="318">
        <v>14.7</v>
      </c>
      <c r="J200" s="318">
        <v>2018</v>
      </c>
      <c r="L200" s="318">
        <v>2020</v>
      </c>
      <c r="N200" s="318">
        <v>2020</v>
      </c>
    </row>
    <row r="201" spans="1:14" x14ac:dyDescent="0.2">
      <c r="A201" s="316" t="s">
        <v>707</v>
      </c>
      <c r="B201" s="316">
        <v>2023</v>
      </c>
      <c r="C201" s="316" t="s">
        <v>708</v>
      </c>
      <c r="D201" s="317"/>
      <c r="E201" s="317"/>
      <c r="F201" s="317"/>
      <c r="G201"/>
      <c r="H201">
        <v>2021</v>
      </c>
      <c r="I201" s="318">
        <v>6.1</v>
      </c>
      <c r="J201" s="318">
        <v>2019</v>
      </c>
      <c r="L201" s="318">
        <v>2020</v>
      </c>
      <c r="N201" s="318">
        <v>2020</v>
      </c>
    </row>
    <row r="202" spans="1:14" x14ac:dyDescent="0.2">
      <c r="A202" s="316" t="s">
        <v>1114</v>
      </c>
      <c r="B202" s="316">
        <v>2023</v>
      </c>
      <c r="C202" s="316" t="s">
        <v>1115</v>
      </c>
      <c r="D202" s="317"/>
      <c r="E202" s="317"/>
      <c r="F202" s="317"/>
      <c r="G202"/>
      <c r="H202">
        <v>2021</v>
      </c>
      <c r="I202" s="318">
        <v>23.3</v>
      </c>
      <c r="J202" s="318">
        <v>2020</v>
      </c>
      <c r="L202" s="318">
        <v>2020</v>
      </c>
      <c r="N202" s="318">
        <v>2020</v>
      </c>
    </row>
    <row r="203" spans="1:14" x14ac:dyDescent="0.2">
      <c r="A203" s="316" t="s">
        <v>1117</v>
      </c>
      <c r="B203" s="316">
        <v>2023</v>
      </c>
      <c r="C203" s="316" t="s">
        <v>1118</v>
      </c>
      <c r="D203" s="317"/>
      <c r="E203" s="317"/>
      <c r="F203" s="317"/>
      <c r="G203"/>
      <c r="H203">
        <v>2021</v>
      </c>
      <c r="I203" s="318">
        <v>1.8</v>
      </c>
      <c r="J203" s="318">
        <v>2020</v>
      </c>
      <c r="L203" s="318">
        <v>2020</v>
      </c>
      <c r="N203" s="318">
        <v>2020</v>
      </c>
    </row>
    <row r="204" spans="1:14" x14ac:dyDescent="0.2">
      <c r="A204" s="316" t="s">
        <v>509</v>
      </c>
      <c r="B204" s="316">
        <v>2023</v>
      </c>
      <c r="C204" s="316" t="s">
        <v>510</v>
      </c>
      <c r="D204" s="316" t="s">
        <v>131</v>
      </c>
      <c r="E204" s="316" t="s">
        <v>131</v>
      </c>
      <c r="F204" s="316" t="s">
        <v>131</v>
      </c>
      <c r="G204">
        <v>49</v>
      </c>
      <c r="H204">
        <v>2016</v>
      </c>
      <c r="I204" s="318">
        <v>34</v>
      </c>
      <c r="J204" s="318">
        <v>2016</v>
      </c>
      <c r="K204" s="318">
        <v>41.1</v>
      </c>
      <c r="L204" s="318">
        <v>2016</v>
      </c>
      <c r="M204" s="318">
        <v>29.3</v>
      </c>
      <c r="N204" s="318">
        <v>2016</v>
      </c>
    </row>
    <row r="205" spans="1:14" x14ac:dyDescent="0.2">
      <c r="A205" s="316" t="s">
        <v>94</v>
      </c>
      <c r="B205" s="316">
        <v>2023</v>
      </c>
      <c r="C205" s="316" t="s">
        <v>95</v>
      </c>
      <c r="D205" s="316" t="s">
        <v>131</v>
      </c>
      <c r="E205" s="316" t="s">
        <v>131</v>
      </c>
      <c r="F205" s="316" t="s">
        <v>131</v>
      </c>
      <c r="G205"/>
      <c r="H205">
        <v>2021</v>
      </c>
      <c r="I205" s="318">
        <v>9.1</v>
      </c>
      <c r="J205" s="318">
        <v>2012</v>
      </c>
      <c r="L205" s="318">
        <v>2020</v>
      </c>
      <c r="N205" s="318">
        <v>2020</v>
      </c>
    </row>
    <row r="206" spans="1:14" x14ac:dyDescent="0.2">
      <c r="A206" s="316" t="s">
        <v>709</v>
      </c>
      <c r="B206" s="316">
        <v>2023</v>
      </c>
      <c r="C206" s="316" t="s">
        <v>710</v>
      </c>
      <c r="D206" s="316" t="s">
        <v>131</v>
      </c>
      <c r="E206" s="316" t="s">
        <v>131</v>
      </c>
      <c r="F206" s="316" t="s">
        <v>131</v>
      </c>
      <c r="G206"/>
      <c r="H206">
        <v>2021</v>
      </c>
      <c r="J206" s="318">
        <v>2021</v>
      </c>
      <c r="L206" s="318">
        <v>2020</v>
      </c>
      <c r="N206" s="318">
        <v>2020</v>
      </c>
    </row>
    <row r="207" spans="1:14" x14ac:dyDescent="0.2">
      <c r="A207" s="316" t="s">
        <v>1034</v>
      </c>
      <c r="B207" s="316">
        <v>2023</v>
      </c>
      <c r="C207" s="316" t="s">
        <v>1035</v>
      </c>
      <c r="D207" s="316" t="s">
        <v>131</v>
      </c>
      <c r="E207" s="316" t="s">
        <v>131</v>
      </c>
      <c r="F207" s="316" t="s">
        <v>131</v>
      </c>
      <c r="G207"/>
      <c r="H207">
        <v>2021</v>
      </c>
      <c r="I207" s="318">
        <v>0</v>
      </c>
      <c r="J207" s="318">
        <v>2021</v>
      </c>
      <c r="L207" s="318">
        <v>2020</v>
      </c>
      <c r="N207" s="318">
        <v>2020</v>
      </c>
    </row>
    <row r="208" spans="1:14" x14ac:dyDescent="0.2">
      <c r="A208" s="316" t="s">
        <v>1119</v>
      </c>
      <c r="B208" s="316">
        <v>2023</v>
      </c>
      <c r="C208" s="316" t="s">
        <v>1120</v>
      </c>
      <c r="D208" s="316" t="s">
        <v>131</v>
      </c>
      <c r="E208" s="316" t="s">
        <v>131</v>
      </c>
      <c r="F208" s="316" t="s">
        <v>131</v>
      </c>
      <c r="G208"/>
      <c r="H208">
        <v>2021</v>
      </c>
      <c r="J208" s="318">
        <v>2021</v>
      </c>
      <c r="L208" s="318">
        <v>2020</v>
      </c>
      <c r="N208" s="318">
        <v>2020</v>
      </c>
    </row>
    <row r="209" spans="1:14" x14ac:dyDescent="0.2">
      <c r="A209" s="316" t="s">
        <v>711</v>
      </c>
      <c r="B209" s="316">
        <v>2023</v>
      </c>
      <c r="C209" s="316" t="s">
        <v>712</v>
      </c>
      <c r="D209" s="316" t="s">
        <v>131</v>
      </c>
      <c r="E209" s="316" t="s">
        <v>131</v>
      </c>
      <c r="F209" s="316" t="s">
        <v>131</v>
      </c>
      <c r="G209"/>
      <c r="H209">
        <v>2021</v>
      </c>
      <c r="I209" s="318">
        <v>24.6</v>
      </c>
      <c r="J209" s="318">
        <v>2013</v>
      </c>
      <c r="L209" s="318">
        <v>2020</v>
      </c>
      <c r="N209" s="318">
        <v>2020</v>
      </c>
    </row>
    <row r="210" spans="1:14" x14ac:dyDescent="0.2">
      <c r="A210" s="316" t="s">
        <v>713</v>
      </c>
      <c r="B210" s="316">
        <v>2023</v>
      </c>
      <c r="C210" s="316" t="s">
        <v>714</v>
      </c>
      <c r="D210" s="316" t="s">
        <v>131</v>
      </c>
      <c r="E210" s="316" t="s">
        <v>130</v>
      </c>
      <c r="F210" s="316" t="s">
        <v>130</v>
      </c>
      <c r="G210"/>
      <c r="H210">
        <v>2021</v>
      </c>
      <c r="J210" s="318">
        <v>2021</v>
      </c>
      <c r="L210" s="318">
        <v>2020</v>
      </c>
      <c r="N210" s="318">
        <v>2020</v>
      </c>
    </row>
    <row r="211" spans="1:14" x14ac:dyDescent="0.2">
      <c r="A211" s="316" t="s">
        <v>715</v>
      </c>
      <c r="B211" s="316">
        <v>2023</v>
      </c>
      <c r="C211" s="316" t="s">
        <v>716</v>
      </c>
      <c r="D211" s="316" t="s">
        <v>131</v>
      </c>
      <c r="E211" s="316" t="s">
        <v>130</v>
      </c>
      <c r="F211" s="316" t="s">
        <v>130</v>
      </c>
      <c r="G211"/>
      <c r="H211">
        <v>2021</v>
      </c>
      <c r="I211" s="318">
        <v>21.4</v>
      </c>
      <c r="J211" s="318">
        <v>2013</v>
      </c>
      <c r="L211" s="318">
        <v>2020</v>
      </c>
      <c r="N211" s="318">
        <v>2020</v>
      </c>
    </row>
    <row r="212" spans="1:14" x14ac:dyDescent="0.2">
      <c r="A212" s="316" t="s">
        <v>1123</v>
      </c>
      <c r="B212" s="316">
        <v>2023</v>
      </c>
      <c r="C212" s="316" t="s">
        <v>97</v>
      </c>
      <c r="D212" s="316" t="s">
        <v>131</v>
      </c>
      <c r="E212" s="316" t="s">
        <v>131</v>
      </c>
      <c r="F212" s="316" t="s">
        <v>131</v>
      </c>
      <c r="G212"/>
      <c r="H212">
        <v>2021</v>
      </c>
      <c r="J212" s="318">
        <v>2021</v>
      </c>
      <c r="L212" s="318">
        <v>2020</v>
      </c>
      <c r="N212" s="318">
        <v>2020</v>
      </c>
    </row>
    <row r="213" spans="1:14" x14ac:dyDescent="0.2">
      <c r="A213" s="316" t="s">
        <v>543</v>
      </c>
      <c r="B213" s="316">
        <v>2023</v>
      </c>
      <c r="C213" s="316" t="s">
        <v>717</v>
      </c>
      <c r="D213" s="316" t="s">
        <v>131</v>
      </c>
      <c r="E213" s="316" t="s">
        <v>131</v>
      </c>
      <c r="F213" s="316" t="s">
        <v>131</v>
      </c>
      <c r="G213"/>
      <c r="H213">
        <v>2021</v>
      </c>
      <c r="I213" s="318">
        <v>10.6</v>
      </c>
      <c r="J213" s="318">
        <v>2014</v>
      </c>
      <c r="L213" s="318">
        <v>2020</v>
      </c>
      <c r="N213" s="318">
        <v>2020</v>
      </c>
    </row>
    <row r="214" spans="1:14" x14ac:dyDescent="0.2">
      <c r="A214" s="316" t="s">
        <v>1126</v>
      </c>
      <c r="B214" s="316">
        <v>2023</v>
      </c>
      <c r="C214" s="316" t="s">
        <v>1127</v>
      </c>
      <c r="D214" s="317"/>
      <c r="E214" s="317"/>
      <c r="F214" s="317"/>
      <c r="G214"/>
      <c r="H214">
        <v>2021</v>
      </c>
      <c r="J214" s="318">
        <v>2021</v>
      </c>
      <c r="L214" s="318">
        <v>2020</v>
      </c>
      <c r="N214" s="318">
        <v>2020</v>
      </c>
    </row>
    <row r="215" spans="1:14" x14ac:dyDescent="0.2">
      <c r="A215" s="316" t="s">
        <v>1097</v>
      </c>
      <c r="B215" s="316">
        <v>2023</v>
      </c>
      <c r="C215" s="316" t="s">
        <v>78</v>
      </c>
      <c r="D215" s="316" t="s">
        <v>130</v>
      </c>
      <c r="E215" s="316" t="s">
        <v>130</v>
      </c>
      <c r="F215" s="316" t="s">
        <v>130</v>
      </c>
      <c r="G215"/>
      <c r="H215">
        <v>2021</v>
      </c>
      <c r="I215" s="318">
        <v>13.4</v>
      </c>
      <c r="J215" s="318">
        <v>2020</v>
      </c>
      <c r="L215" s="318">
        <v>2020</v>
      </c>
      <c r="N215" s="318">
        <v>2020</v>
      </c>
    </row>
    <row r="216" spans="1:14" x14ac:dyDescent="0.2">
      <c r="A216" s="316" t="s">
        <v>1130</v>
      </c>
      <c r="B216" s="316">
        <v>2023</v>
      </c>
      <c r="C216" s="316" t="s">
        <v>52</v>
      </c>
      <c r="D216" s="316" t="s">
        <v>130</v>
      </c>
      <c r="E216" s="316" t="s">
        <v>130</v>
      </c>
      <c r="F216" s="316" t="s">
        <v>130</v>
      </c>
      <c r="G216">
        <v>48.7</v>
      </c>
      <c r="H216">
        <v>2013</v>
      </c>
      <c r="I216" s="318">
        <v>31.9</v>
      </c>
      <c r="J216" s="318">
        <v>2013</v>
      </c>
      <c r="L216" s="318">
        <v>2020</v>
      </c>
      <c r="N216" s="318">
        <v>2020</v>
      </c>
    </row>
    <row r="217" spans="1:14" x14ac:dyDescent="0.2">
      <c r="A217" s="316" t="s">
        <v>522</v>
      </c>
      <c r="B217" s="316">
        <v>2023</v>
      </c>
      <c r="C217" s="316" t="s">
        <v>523</v>
      </c>
      <c r="D217" s="316" t="s">
        <v>131</v>
      </c>
      <c r="E217" s="316" t="s">
        <v>131</v>
      </c>
      <c r="F217" s="316" t="s">
        <v>131</v>
      </c>
      <c r="G217">
        <v>45.1</v>
      </c>
      <c r="H217">
        <v>2018</v>
      </c>
      <c r="I217" s="318">
        <v>29</v>
      </c>
      <c r="J217" s="318">
        <v>2018</v>
      </c>
      <c r="K217" s="318">
        <v>36.6</v>
      </c>
      <c r="L217" s="318">
        <v>2018</v>
      </c>
      <c r="M217" s="318">
        <v>22.6</v>
      </c>
      <c r="N217" s="318">
        <v>2018</v>
      </c>
    </row>
    <row r="218" spans="1:14" x14ac:dyDescent="0.2">
      <c r="A218" s="316" t="s">
        <v>526</v>
      </c>
      <c r="B218" s="316">
        <v>2023</v>
      </c>
      <c r="C218" s="316" t="s">
        <v>527</v>
      </c>
      <c r="D218" s="316" t="s">
        <v>131</v>
      </c>
      <c r="E218" s="316" t="s">
        <v>131</v>
      </c>
      <c r="F218" s="316" t="s">
        <v>131</v>
      </c>
      <c r="G218">
        <v>38.700000000000003</v>
      </c>
      <c r="H218">
        <v>2015</v>
      </c>
      <c r="I218" s="318">
        <v>33.700000000000003</v>
      </c>
      <c r="J218" s="318">
        <v>2019</v>
      </c>
      <c r="K218" s="318">
        <v>31.5</v>
      </c>
      <c r="L218" s="318">
        <v>2015</v>
      </c>
      <c r="M218" s="318">
        <v>23.5</v>
      </c>
      <c r="N218" s="318">
        <v>2015</v>
      </c>
    </row>
  </sheetData>
  <sheetProtection sheet="1" objects="1" scenarios="1"/>
  <autoFilter ref="A1:N220" xr:uid="{AC79CE55-0889-D74C-A857-41572CE2F4A7}">
    <sortState xmlns:xlrd2="http://schemas.microsoft.com/office/spreadsheetml/2017/richdata2" ref="A2:N220">
      <sortCondition ref="A1:A220"/>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2401-8CBE-4505-8C15-95759121A3DB}">
  <dimension ref="A1:AB168"/>
  <sheetViews>
    <sheetView showGridLines="0" topLeftCell="B90" workbookViewId="0">
      <selection activeCell="A163" sqref="A163:XFD163"/>
    </sheetView>
  </sheetViews>
  <sheetFormatPr baseColWidth="10" defaultColWidth="9" defaultRowHeight="12" x14ac:dyDescent="0.15"/>
  <cols>
    <col min="1" max="16384" width="9" style="308"/>
  </cols>
  <sheetData>
    <row r="1" spans="1:28" ht="18" x14ac:dyDescent="0.2">
      <c r="A1" s="299" t="s">
        <v>1150</v>
      </c>
    </row>
    <row r="2" spans="1:28" ht="91" x14ac:dyDescent="0.15">
      <c r="A2" s="309"/>
      <c r="B2" s="309"/>
      <c r="C2" s="199"/>
      <c r="D2" s="199"/>
      <c r="E2" s="199"/>
      <c r="F2" s="200" t="s">
        <v>783</v>
      </c>
      <c r="G2" s="200" t="s">
        <v>784</v>
      </c>
      <c r="H2" s="200" t="s">
        <v>785</v>
      </c>
      <c r="I2" s="200" t="s">
        <v>786</v>
      </c>
      <c r="J2" s="200" t="s">
        <v>787</v>
      </c>
      <c r="K2" s="200" t="s">
        <v>788</v>
      </c>
      <c r="L2" s="200" t="s">
        <v>789</v>
      </c>
      <c r="M2" s="200" t="s">
        <v>790</v>
      </c>
      <c r="N2" s="200" t="s">
        <v>791</v>
      </c>
      <c r="O2" s="200" t="s">
        <v>792</v>
      </c>
      <c r="P2" s="200" t="s">
        <v>793</v>
      </c>
      <c r="Q2" s="200" t="s">
        <v>794</v>
      </c>
      <c r="R2" s="200" t="s">
        <v>795</v>
      </c>
      <c r="S2" s="200" t="s">
        <v>796</v>
      </c>
      <c r="T2" s="200" t="s">
        <v>984</v>
      </c>
      <c r="U2" s="200" t="s">
        <v>797</v>
      </c>
      <c r="V2" s="200" t="s">
        <v>798</v>
      </c>
      <c r="W2" s="200" t="s">
        <v>799</v>
      </c>
      <c r="X2" s="200" t="s">
        <v>800</v>
      </c>
      <c r="Y2" s="200" t="s">
        <v>801</v>
      </c>
      <c r="Z2" s="200" t="s">
        <v>802</v>
      </c>
      <c r="AA2" s="200" t="s">
        <v>803</v>
      </c>
      <c r="AB2" s="200" t="s">
        <v>804</v>
      </c>
    </row>
    <row r="3" spans="1:28" x14ac:dyDescent="0.15">
      <c r="A3" s="309"/>
      <c r="B3" s="309"/>
      <c r="C3" s="199"/>
      <c r="D3" s="199"/>
      <c r="E3" s="199" t="s">
        <v>123</v>
      </c>
      <c r="F3" s="199">
        <v>6</v>
      </c>
      <c r="G3" s="199"/>
      <c r="H3" s="310">
        <v>1</v>
      </c>
      <c r="I3" s="199"/>
      <c r="J3" s="199">
        <v>7.5</v>
      </c>
      <c r="K3" s="199"/>
      <c r="L3" s="310">
        <v>1</v>
      </c>
      <c r="M3" s="199"/>
      <c r="N3" s="199"/>
      <c r="O3" s="199">
        <v>7.5</v>
      </c>
      <c r="P3" s="199"/>
      <c r="Q3" s="310">
        <v>1</v>
      </c>
      <c r="R3" s="199"/>
      <c r="S3" s="199">
        <v>6.5</v>
      </c>
      <c r="T3" s="199"/>
      <c r="U3" s="310">
        <v>0.15</v>
      </c>
      <c r="V3" s="199"/>
      <c r="W3" s="199">
        <v>3.5</v>
      </c>
      <c r="X3" s="199"/>
      <c r="Y3" s="311">
        <v>1E-4</v>
      </c>
      <c r="Z3" s="199"/>
      <c r="AA3" s="199"/>
      <c r="AB3" s="199"/>
    </row>
    <row r="4" spans="1:28" x14ac:dyDescent="0.15">
      <c r="A4" s="309"/>
      <c r="B4" s="309"/>
      <c r="C4" s="199"/>
      <c r="D4" s="199"/>
      <c r="E4" s="199" t="s">
        <v>121</v>
      </c>
      <c r="F4" s="199">
        <v>3</v>
      </c>
      <c r="G4" s="199"/>
      <c r="H4" s="310">
        <v>0.02</v>
      </c>
      <c r="I4" s="199"/>
      <c r="J4" s="199">
        <v>6</v>
      </c>
      <c r="K4" s="199"/>
      <c r="L4" s="310">
        <v>0.01</v>
      </c>
      <c r="M4" s="199"/>
      <c r="N4" s="199"/>
      <c r="O4" s="199">
        <v>4.5</v>
      </c>
      <c r="P4" s="199"/>
      <c r="Q4" s="310">
        <v>0.01</v>
      </c>
      <c r="R4" s="199"/>
      <c r="S4" s="199">
        <v>3</v>
      </c>
      <c r="T4" s="199"/>
      <c r="U4" s="310">
        <v>0</v>
      </c>
      <c r="V4" s="199"/>
      <c r="W4" s="199">
        <v>0</v>
      </c>
      <c r="X4" s="199"/>
      <c r="Y4" s="310">
        <v>0</v>
      </c>
      <c r="Z4" s="199"/>
      <c r="AA4" s="199"/>
      <c r="AB4" s="199"/>
    </row>
    <row r="5" spans="1:28" s="346" customFormat="1" x14ac:dyDescent="0.15">
      <c r="A5" s="344" t="s">
        <v>151</v>
      </c>
      <c r="B5" s="344" t="s">
        <v>805</v>
      </c>
      <c r="C5" s="344" t="s">
        <v>153</v>
      </c>
      <c r="D5" s="344" t="s">
        <v>124</v>
      </c>
      <c r="E5" s="344" t="s">
        <v>154</v>
      </c>
      <c r="F5" s="345"/>
      <c r="G5" s="345"/>
      <c r="H5" s="345"/>
      <c r="I5" s="345"/>
      <c r="J5" s="345"/>
      <c r="K5" s="345"/>
      <c r="L5" s="345"/>
      <c r="M5" s="345"/>
      <c r="N5" s="345"/>
      <c r="O5" s="345"/>
      <c r="P5" s="345"/>
      <c r="Q5" s="345"/>
      <c r="R5" s="345"/>
      <c r="S5" s="345"/>
      <c r="T5" s="345"/>
      <c r="U5" s="345"/>
      <c r="V5" s="345"/>
      <c r="W5" s="345"/>
      <c r="X5" s="345"/>
      <c r="Y5" s="345"/>
      <c r="Z5" s="345"/>
      <c r="AA5" s="345"/>
      <c r="AB5" s="345"/>
    </row>
    <row r="6" spans="1:28" x14ac:dyDescent="0.15">
      <c r="A6" s="306" t="s">
        <v>156</v>
      </c>
      <c r="B6" s="306" t="s">
        <v>806</v>
      </c>
      <c r="C6" s="306" t="s">
        <v>157</v>
      </c>
      <c r="D6" s="306" t="s">
        <v>48</v>
      </c>
      <c r="E6" s="306" t="s">
        <v>50</v>
      </c>
      <c r="F6" s="306">
        <v>4.7</v>
      </c>
      <c r="G6" s="307">
        <v>1.000965916931144</v>
      </c>
      <c r="H6" s="306">
        <v>5</v>
      </c>
      <c r="I6" s="306">
        <v>4.8499999999999996</v>
      </c>
      <c r="J6" s="306">
        <v>5</v>
      </c>
      <c r="K6" s="307">
        <v>1</v>
      </c>
      <c r="L6" s="306">
        <v>5</v>
      </c>
      <c r="M6" s="306">
        <v>5</v>
      </c>
      <c r="N6" s="306">
        <v>4.9000000000000004</v>
      </c>
      <c r="O6" s="306">
        <v>5</v>
      </c>
      <c r="P6" s="307">
        <v>1</v>
      </c>
      <c r="Q6" s="306">
        <v>5</v>
      </c>
      <c r="R6" s="306">
        <v>5</v>
      </c>
      <c r="S6" s="306">
        <v>5</v>
      </c>
      <c r="T6" s="307">
        <v>0.53167053364269146</v>
      </c>
      <c r="U6" s="306">
        <v>5</v>
      </c>
      <c r="V6" s="306">
        <v>5</v>
      </c>
      <c r="W6" s="306">
        <v>4.7</v>
      </c>
      <c r="X6" s="307">
        <v>4.5336426914153132E-5</v>
      </c>
      <c r="Y6" s="306">
        <v>2.2999999999999998</v>
      </c>
      <c r="Z6" s="306">
        <v>3.5</v>
      </c>
      <c r="AA6" s="306">
        <v>4.4000000000000004</v>
      </c>
      <c r="AB6" s="306">
        <v>4.7</v>
      </c>
    </row>
    <row r="7" spans="1:28" x14ac:dyDescent="0.15">
      <c r="A7" s="306" t="s">
        <v>807</v>
      </c>
      <c r="B7" s="306" t="s">
        <v>158</v>
      </c>
      <c r="C7" s="306" t="s">
        <v>808</v>
      </c>
      <c r="D7" s="306" t="s">
        <v>48</v>
      </c>
      <c r="E7" s="306" t="s">
        <v>50</v>
      </c>
      <c r="F7" s="306">
        <v>2.9</v>
      </c>
      <c r="G7" s="307">
        <v>8.398571056222498E-2</v>
      </c>
      <c r="H7" s="306">
        <v>0.3</v>
      </c>
      <c r="I7" s="306">
        <v>1.5999999999999999</v>
      </c>
      <c r="J7" s="306">
        <v>1.8</v>
      </c>
      <c r="K7" s="307">
        <v>8.1206496519721574E-2</v>
      </c>
      <c r="L7" s="306">
        <v>0.4</v>
      </c>
      <c r="M7" s="306">
        <v>1.1000000000000001</v>
      </c>
      <c r="N7" s="306">
        <v>1.4</v>
      </c>
      <c r="O7" s="306">
        <v>2.8</v>
      </c>
      <c r="P7" s="307">
        <v>0.45714285714285713</v>
      </c>
      <c r="Q7" s="306">
        <v>2.2999999999999998</v>
      </c>
      <c r="R7" s="306">
        <v>2.5499999999999998</v>
      </c>
      <c r="S7" s="306">
        <v>0</v>
      </c>
      <c r="T7" s="306">
        <v>0</v>
      </c>
      <c r="U7" s="306">
        <v>0</v>
      </c>
      <c r="V7" s="306">
        <v>0</v>
      </c>
      <c r="W7" s="306">
        <v>4.5</v>
      </c>
      <c r="X7" s="307">
        <v>9.2624999999999999E-4</v>
      </c>
      <c r="Y7" s="306">
        <v>5</v>
      </c>
      <c r="Z7" s="306">
        <v>4.8</v>
      </c>
      <c r="AA7" s="306">
        <v>3.2</v>
      </c>
      <c r="AB7" s="306">
        <v>2.9</v>
      </c>
    </row>
    <row r="8" spans="1:28" x14ac:dyDescent="0.15">
      <c r="A8" s="306" t="s">
        <v>159</v>
      </c>
      <c r="B8" s="306" t="s">
        <v>219</v>
      </c>
      <c r="C8" s="306" t="s">
        <v>161</v>
      </c>
      <c r="D8" s="306" t="s">
        <v>162</v>
      </c>
      <c r="E8" s="306" t="s">
        <v>163</v>
      </c>
      <c r="F8" s="306">
        <v>5</v>
      </c>
      <c r="G8" s="307">
        <v>1</v>
      </c>
      <c r="H8" s="306">
        <v>5</v>
      </c>
      <c r="I8" s="306">
        <v>5</v>
      </c>
      <c r="J8" s="306">
        <v>1.5</v>
      </c>
      <c r="K8" s="307">
        <v>7.9710144927536225E-2</v>
      </c>
      <c r="L8" s="306">
        <v>0.4</v>
      </c>
      <c r="M8" s="306">
        <v>0.95</v>
      </c>
      <c r="N8" s="306">
        <v>3.7</v>
      </c>
      <c r="O8" s="306">
        <v>3.1</v>
      </c>
      <c r="P8" s="307">
        <v>0.82436363636363641</v>
      </c>
      <c r="Q8" s="306">
        <v>4.0999999999999996</v>
      </c>
      <c r="R8" s="306">
        <v>3.5999999999999996</v>
      </c>
      <c r="S8" s="306">
        <v>0</v>
      </c>
      <c r="T8" s="307">
        <v>0</v>
      </c>
      <c r="U8" s="306">
        <v>0</v>
      </c>
      <c r="V8" s="306">
        <v>0</v>
      </c>
      <c r="W8" s="306">
        <v>0</v>
      </c>
      <c r="X8" s="307">
        <v>0</v>
      </c>
      <c r="Y8" s="306">
        <v>0</v>
      </c>
      <c r="Z8" s="306">
        <v>0</v>
      </c>
      <c r="AA8" s="306">
        <v>0</v>
      </c>
      <c r="AB8" s="306">
        <v>2.2000000000000002</v>
      </c>
    </row>
    <row r="9" spans="1:28" x14ac:dyDescent="0.15">
      <c r="A9" s="306" t="s">
        <v>164</v>
      </c>
      <c r="B9" s="306" t="s">
        <v>809</v>
      </c>
      <c r="C9" s="306" t="s">
        <v>166</v>
      </c>
      <c r="D9" s="306" t="s">
        <v>167</v>
      </c>
      <c r="E9" s="306" t="s">
        <v>168</v>
      </c>
      <c r="F9" s="306">
        <v>2</v>
      </c>
      <c r="G9" s="307">
        <v>0.58152441166139801</v>
      </c>
      <c r="H9" s="306">
        <v>2.9</v>
      </c>
      <c r="I9" s="306">
        <v>2.4500000000000002</v>
      </c>
      <c r="J9" s="306">
        <v>1.1000000000000001</v>
      </c>
      <c r="K9" s="307">
        <v>0.69524727039177903</v>
      </c>
      <c r="L9" s="306">
        <v>3.5</v>
      </c>
      <c r="M9" s="306">
        <v>2.2999999999999998</v>
      </c>
      <c r="N9" s="306">
        <v>2.4</v>
      </c>
      <c r="O9" s="306">
        <v>1.6</v>
      </c>
      <c r="P9" s="307">
        <v>0.13949191685912241</v>
      </c>
      <c r="Q9" s="306">
        <v>0.7</v>
      </c>
      <c r="R9" s="306">
        <v>1.1499999999999999</v>
      </c>
      <c r="S9" s="306">
        <v>3.1</v>
      </c>
      <c r="T9" s="307">
        <v>0.49668874172185429</v>
      </c>
      <c r="U9" s="306">
        <v>5</v>
      </c>
      <c r="V9" s="306">
        <v>4.0999999999999996</v>
      </c>
      <c r="W9" s="306">
        <v>1.5</v>
      </c>
      <c r="X9" s="307">
        <v>3.9735099337748346E-5</v>
      </c>
      <c r="Y9" s="306">
        <v>2</v>
      </c>
      <c r="Z9" s="306">
        <v>1.8</v>
      </c>
      <c r="AA9" s="306">
        <v>3.2</v>
      </c>
      <c r="AB9" s="306">
        <v>2.2999999999999998</v>
      </c>
    </row>
    <row r="10" spans="1:28" x14ac:dyDescent="0.15">
      <c r="A10" s="306" t="s">
        <v>169</v>
      </c>
      <c r="B10" s="306" t="s">
        <v>809</v>
      </c>
      <c r="C10" s="306" t="s">
        <v>170</v>
      </c>
      <c r="D10" s="306" t="s">
        <v>171</v>
      </c>
      <c r="E10" s="306" t="s">
        <v>172</v>
      </c>
      <c r="F10" s="306">
        <v>2</v>
      </c>
      <c r="G10" s="307">
        <v>0.19912885662431942</v>
      </c>
      <c r="H10" s="306">
        <v>0.9</v>
      </c>
      <c r="I10" s="306">
        <v>1.45</v>
      </c>
      <c r="J10" s="306">
        <v>0</v>
      </c>
      <c r="K10" s="307">
        <v>8.9571657325860685E-2</v>
      </c>
      <c r="L10" s="306">
        <v>0.4</v>
      </c>
      <c r="M10" s="306">
        <v>0.2</v>
      </c>
      <c r="N10" s="306">
        <v>0.9</v>
      </c>
      <c r="O10" s="306">
        <v>1.4</v>
      </c>
      <c r="P10" s="307">
        <v>0.23016759776536314</v>
      </c>
      <c r="Q10" s="306">
        <v>1.1000000000000001</v>
      </c>
      <c r="R10" s="306">
        <v>1.25</v>
      </c>
      <c r="S10" s="306">
        <v>3.1</v>
      </c>
      <c r="T10" s="307">
        <v>0.68932038834951459</v>
      </c>
      <c r="U10" s="306">
        <v>5</v>
      </c>
      <c r="V10" s="306">
        <v>4.0999999999999996</v>
      </c>
      <c r="W10" s="306">
        <v>3.9</v>
      </c>
      <c r="X10" s="307">
        <v>2.6699029126213592E-3</v>
      </c>
      <c r="Y10" s="306">
        <v>5</v>
      </c>
      <c r="Z10" s="306">
        <v>4.5</v>
      </c>
      <c r="AA10" s="306">
        <v>4.3</v>
      </c>
      <c r="AB10" s="306">
        <v>3.1</v>
      </c>
    </row>
    <row r="11" spans="1:28" x14ac:dyDescent="0.15">
      <c r="A11" s="306" t="s">
        <v>173</v>
      </c>
      <c r="B11" s="306" t="s">
        <v>810</v>
      </c>
      <c r="C11" s="306" t="s">
        <v>174</v>
      </c>
      <c r="D11" s="306" t="s">
        <v>88</v>
      </c>
      <c r="E11" s="306" t="s">
        <v>89</v>
      </c>
      <c r="F11" s="306">
        <v>2.2999999999999998</v>
      </c>
      <c r="G11" s="307">
        <v>1</v>
      </c>
      <c r="H11" s="306">
        <v>5</v>
      </c>
      <c r="I11" s="306">
        <v>3.65</v>
      </c>
      <c r="J11" s="306">
        <v>3.6</v>
      </c>
      <c r="K11" s="307">
        <v>1</v>
      </c>
      <c r="L11" s="306">
        <v>5</v>
      </c>
      <c r="M11" s="306">
        <v>4.3</v>
      </c>
      <c r="N11" s="306">
        <v>4</v>
      </c>
      <c r="O11" s="306">
        <v>3.9</v>
      </c>
      <c r="P11" s="307">
        <v>0.55260802343559279</v>
      </c>
      <c r="Q11" s="306">
        <v>2.7</v>
      </c>
      <c r="R11" s="306">
        <v>3.3</v>
      </c>
      <c r="S11" s="306">
        <v>4</v>
      </c>
      <c r="T11" s="307">
        <v>8.7321454866735385E-2</v>
      </c>
      <c r="U11" s="306">
        <v>2.9</v>
      </c>
      <c r="V11" s="306">
        <v>3.5</v>
      </c>
      <c r="W11" s="306">
        <v>2.9</v>
      </c>
      <c r="X11" s="307">
        <v>1.4872625533794728E-5</v>
      </c>
      <c r="Y11" s="306">
        <v>0.7</v>
      </c>
      <c r="Z11" s="306">
        <v>1.8</v>
      </c>
      <c r="AA11" s="306">
        <v>2.8</v>
      </c>
      <c r="AB11" s="306">
        <v>3.1</v>
      </c>
    </row>
    <row r="12" spans="1:28" x14ac:dyDescent="0.15">
      <c r="A12" s="306" t="s">
        <v>175</v>
      </c>
      <c r="B12" s="306" t="s">
        <v>811</v>
      </c>
      <c r="C12" s="306" t="s">
        <v>176</v>
      </c>
      <c r="D12" s="306" t="s">
        <v>98</v>
      </c>
      <c r="E12" s="306" t="s">
        <v>99</v>
      </c>
      <c r="F12" s="306">
        <v>3.7</v>
      </c>
      <c r="G12" s="307">
        <v>0.60672514619883045</v>
      </c>
      <c r="H12" s="306">
        <v>3</v>
      </c>
      <c r="I12" s="306">
        <v>3.35</v>
      </c>
      <c r="J12" s="306">
        <v>4.4000000000000004</v>
      </c>
      <c r="K12" s="307">
        <v>1</v>
      </c>
      <c r="L12" s="306">
        <v>5</v>
      </c>
      <c r="M12" s="306">
        <v>4.7</v>
      </c>
      <c r="N12" s="306">
        <v>4.0999999999999996</v>
      </c>
      <c r="O12" s="306">
        <v>3.6</v>
      </c>
      <c r="P12" s="307">
        <v>0.21442169290058968</v>
      </c>
      <c r="Q12" s="306">
        <v>1</v>
      </c>
      <c r="R12" s="306">
        <v>2.2999999999999998</v>
      </c>
      <c r="S12" s="306">
        <v>4.8</v>
      </c>
      <c r="T12" s="307">
        <v>0.4898224339540927</v>
      </c>
      <c r="U12" s="306">
        <v>5</v>
      </c>
      <c r="V12" s="306">
        <v>4.9000000000000004</v>
      </c>
      <c r="W12" s="306">
        <v>5</v>
      </c>
      <c r="X12" s="307">
        <v>8.3456041576440015E-4</v>
      </c>
      <c r="Y12" s="306">
        <v>5</v>
      </c>
      <c r="Z12" s="306">
        <v>5</v>
      </c>
      <c r="AA12" s="306">
        <v>5</v>
      </c>
      <c r="AB12" s="306">
        <v>4</v>
      </c>
    </row>
    <row r="13" spans="1:28" x14ac:dyDescent="0.15">
      <c r="A13" s="306" t="s">
        <v>177</v>
      </c>
      <c r="B13" s="306" t="s">
        <v>812</v>
      </c>
      <c r="C13" s="306" t="s">
        <v>178</v>
      </c>
      <c r="D13" s="306" t="s">
        <v>133</v>
      </c>
      <c r="E13" s="306" t="s">
        <v>134</v>
      </c>
      <c r="F13" s="306">
        <v>0</v>
      </c>
      <c r="G13" s="307">
        <v>5.6115848505800111E-3</v>
      </c>
      <c r="H13" s="306">
        <v>0</v>
      </c>
      <c r="I13" s="306">
        <v>0</v>
      </c>
      <c r="J13" s="306">
        <v>0.6</v>
      </c>
      <c r="K13" s="307">
        <v>8.9048915429876183E-3</v>
      </c>
      <c r="L13" s="306">
        <v>0</v>
      </c>
      <c r="M13" s="306">
        <v>0.3</v>
      </c>
      <c r="N13" s="306">
        <v>0.2</v>
      </c>
      <c r="O13" s="306">
        <v>2.8</v>
      </c>
      <c r="P13" s="307">
        <v>1</v>
      </c>
      <c r="Q13" s="306">
        <v>5</v>
      </c>
      <c r="R13" s="306">
        <v>3.9</v>
      </c>
      <c r="S13" s="306">
        <v>4.3</v>
      </c>
      <c r="T13" s="307">
        <v>0.64234056541748852</v>
      </c>
      <c r="U13" s="306">
        <v>5</v>
      </c>
      <c r="V13" s="306">
        <v>4.7</v>
      </c>
      <c r="W13" s="306">
        <v>2.1</v>
      </c>
      <c r="X13" s="307">
        <v>2.0381328073635766E-5</v>
      </c>
      <c r="Y13" s="306">
        <v>1</v>
      </c>
      <c r="Z13" s="306">
        <v>1.6</v>
      </c>
      <c r="AA13" s="306">
        <v>3.6</v>
      </c>
      <c r="AB13" s="306">
        <v>3.8</v>
      </c>
    </row>
    <row r="14" spans="1:28" x14ac:dyDescent="0.15">
      <c r="A14" s="306" t="s">
        <v>814</v>
      </c>
      <c r="B14" s="306" t="s">
        <v>815</v>
      </c>
      <c r="C14" s="306" t="s">
        <v>816</v>
      </c>
      <c r="D14" s="306" t="s">
        <v>133</v>
      </c>
      <c r="E14" s="306" t="s">
        <v>134</v>
      </c>
      <c r="F14" s="306">
        <v>3.6</v>
      </c>
      <c r="G14" s="307">
        <v>1.1336713528462778</v>
      </c>
      <c r="H14" s="306">
        <v>5</v>
      </c>
      <c r="I14" s="306">
        <v>4.3</v>
      </c>
      <c r="J14" s="306">
        <v>5</v>
      </c>
      <c r="K14" s="307">
        <v>1</v>
      </c>
      <c r="L14" s="306">
        <v>5</v>
      </c>
      <c r="M14" s="306">
        <v>5</v>
      </c>
      <c r="N14" s="306">
        <v>4.7</v>
      </c>
      <c r="O14" s="306">
        <v>5</v>
      </c>
      <c r="P14" s="307">
        <v>0.90057668101050903</v>
      </c>
      <c r="Q14" s="306">
        <v>4.5</v>
      </c>
      <c r="R14" s="306">
        <v>4.75</v>
      </c>
      <c r="S14" s="306">
        <v>4.3</v>
      </c>
      <c r="T14" s="307">
        <v>6.3514558941120637E-3</v>
      </c>
      <c r="U14" s="306">
        <v>0.2</v>
      </c>
      <c r="V14" s="306">
        <v>2.2999999999999998</v>
      </c>
      <c r="W14" s="306">
        <v>2.1</v>
      </c>
      <c r="X14" s="307">
        <v>2.0153033031471238E-7</v>
      </c>
      <c r="Y14" s="306">
        <v>0</v>
      </c>
      <c r="Z14" s="306">
        <v>1.1000000000000001</v>
      </c>
      <c r="AA14" s="306">
        <v>1.7</v>
      </c>
      <c r="AB14" s="306">
        <v>3.6</v>
      </c>
    </row>
    <row r="15" spans="1:28" x14ac:dyDescent="0.15">
      <c r="A15" s="306" t="s">
        <v>818</v>
      </c>
      <c r="B15" s="306" t="s">
        <v>809</v>
      </c>
      <c r="C15" s="306" t="s">
        <v>819</v>
      </c>
      <c r="D15" s="306" t="s">
        <v>564</v>
      </c>
      <c r="E15" s="306" t="s">
        <v>565</v>
      </c>
      <c r="F15" s="306">
        <v>3.4</v>
      </c>
      <c r="G15" s="307">
        <v>1</v>
      </c>
      <c r="H15" s="306">
        <v>5</v>
      </c>
      <c r="I15" s="306">
        <v>4.2</v>
      </c>
      <c r="J15" s="306">
        <v>2.7</v>
      </c>
      <c r="K15" s="307">
        <v>1</v>
      </c>
      <c r="L15" s="306">
        <v>5</v>
      </c>
      <c r="M15" s="306">
        <v>3.85</v>
      </c>
      <c r="N15" s="306">
        <v>4</v>
      </c>
      <c r="O15" s="306">
        <v>0.6</v>
      </c>
      <c r="P15" s="307">
        <v>1.116549403487305E-2</v>
      </c>
      <c r="Q15" s="306">
        <v>0</v>
      </c>
      <c r="R15" s="306">
        <v>0.3</v>
      </c>
      <c r="S15" s="306">
        <v>2.7</v>
      </c>
      <c r="T15" s="307">
        <v>1</v>
      </c>
      <c r="U15" s="306">
        <v>5</v>
      </c>
      <c r="V15" s="306">
        <v>3.9</v>
      </c>
      <c r="W15" s="306" t="s">
        <v>246</v>
      </c>
      <c r="X15" s="307" t="s">
        <v>246</v>
      </c>
      <c r="Y15" s="306" t="s">
        <v>246</v>
      </c>
      <c r="Z15" s="306" t="s">
        <v>246</v>
      </c>
      <c r="AA15" s="306">
        <v>3.9</v>
      </c>
      <c r="AB15" s="306">
        <v>2.5</v>
      </c>
    </row>
    <row r="16" spans="1:28" x14ac:dyDescent="0.15">
      <c r="A16" s="306" t="s">
        <v>820</v>
      </c>
      <c r="B16" s="306" t="s">
        <v>821</v>
      </c>
      <c r="C16" s="306" t="s">
        <v>822</v>
      </c>
      <c r="D16" s="306" t="s">
        <v>566</v>
      </c>
      <c r="E16" s="306" t="s">
        <v>567</v>
      </c>
      <c r="F16" s="306">
        <v>3.9</v>
      </c>
      <c r="G16" s="307">
        <v>1.0228233555062822</v>
      </c>
      <c r="H16" s="306">
        <v>5</v>
      </c>
      <c r="I16" s="306">
        <v>4.45</v>
      </c>
      <c r="J16" s="306">
        <v>3.2</v>
      </c>
      <c r="K16" s="307">
        <v>1</v>
      </c>
      <c r="L16" s="306">
        <v>5</v>
      </c>
      <c r="M16" s="306">
        <v>4.0999999999999996</v>
      </c>
      <c r="N16" s="306">
        <v>4.3</v>
      </c>
      <c r="O16" s="306">
        <v>0.2</v>
      </c>
      <c r="P16" s="307">
        <v>4.6381188652788261E-3</v>
      </c>
      <c r="Q16" s="306">
        <v>0</v>
      </c>
      <c r="R16" s="306">
        <v>0.1</v>
      </c>
      <c r="S16" s="306">
        <v>2.2999999999999998</v>
      </c>
      <c r="T16" s="307">
        <v>1</v>
      </c>
      <c r="U16" s="306">
        <v>5</v>
      </c>
      <c r="V16" s="306">
        <v>3.7</v>
      </c>
      <c r="W16" s="306">
        <v>0</v>
      </c>
      <c r="X16" s="307">
        <v>0</v>
      </c>
      <c r="Y16" s="306">
        <v>0</v>
      </c>
      <c r="Z16" s="306">
        <v>0</v>
      </c>
      <c r="AA16" s="306">
        <v>2.2999999999999998</v>
      </c>
      <c r="AB16" s="306">
        <v>1.3</v>
      </c>
    </row>
    <row r="17" spans="1:28" x14ac:dyDescent="0.15">
      <c r="A17" s="306" t="s">
        <v>179</v>
      </c>
      <c r="B17" s="306" t="s">
        <v>823</v>
      </c>
      <c r="C17" s="306" t="s">
        <v>180</v>
      </c>
      <c r="D17" s="306" t="s">
        <v>181</v>
      </c>
      <c r="E17" s="306" t="s">
        <v>182</v>
      </c>
      <c r="F17" s="306">
        <v>5</v>
      </c>
      <c r="G17" s="307">
        <v>1</v>
      </c>
      <c r="H17" s="306">
        <v>5</v>
      </c>
      <c r="I17" s="306">
        <v>5</v>
      </c>
      <c r="J17" s="306">
        <v>5</v>
      </c>
      <c r="K17" s="307">
        <v>0.51006674004820884</v>
      </c>
      <c r="L17" s="306">
        <v>2.5</v>
      </c>
      <c r="M17" s="306">
        <v>3.75</v>
      </c>
      <c r="N17" s="306">
        <v>4.5</v>
      </c>
      <c r="O17" s="306">
        <v>2.6</v>
      </c>
      <c r="P17" s="307">
        <v>1.0006920163170164E-2</v>
      </c>
      <c r="Q17" s="306">
        <v>0</v>
      </c>
      <c r="R17" s="306">
        <v>1.3</v>
      </c>
      <c r="S17" s="306">
        <v>2.1</v>
      </c>
      <c r="T17" s="307">
        <v>2.6387625113739762E-2</v>
      </c>
      <c r="U17" s="306">
        <v>0.9</v>
      </c>
      <c r="V17" s="306">
        <v>1.5</v>
      </c>
      <c r="W17" s="306">
        <v>0</v>
      </c>
      <c r="X17" s="306">
        <v>9.0991810737033667E-7</v>
      </c>
      <c r="Y17" s="306">
        <v>0</v>
      </c>
      <c r="Z17" s="306">
        <v>0</v>
      </c>
      <c r="AA17" s="306">
        <v>0.8</v>
      </c>
      <c r="AB17" s="306">
        <v>1.1000000000000001</v>
      </c>
    </row>
    <row r="18" spans="1:28" x14ac:dyDescent="0.15">
      <c r="A18" s="306" t="s">
        <v>183</v>
      </c>
      <c r="B18" s="306" t="s">
        <v>824</v>
      </c>
      <c r="C18" s="306" t="s">
        <v>184</v>
      </c>
      <c r="D18" s="306" t="s">
        <v>181</v>
      </c>
      <c r="E18" s="306" t="s">
        <v>182</v>
      </c>
      <c r="F18" s="306">
        <v>5</v>
      </c>
      <c r="G18" s="307">
        <v>1</v>
      </c>
      <c r="H18" s="306">
        <v>5</v>
      </c>
      <c r="I18" s="306">
        <v>5</v>
      </c>
      <c r="J18" s="306">
        <v>5</v>
      </c>
      <c r="K18" s="307">
        <v>0.49176315410588306</v>
      </c>
      <c r="L18" s="306">
        <v>2.4</v>
      </c>
      <c r="M18" s="306">
        <v>3.7</v>
      </c>
      <c r="N18" s="306">
        <v>4.5</v>
      </c>
      <c r="O18" s="306">
        <v>2</v>
      </c>
      <c r="P18" s="307">
        <v>4.7127489776451368E-3</v>
      </c>
      <c r="Q18" s="306">
        <v>0</v>
      </c>
      <c r="R18" s="306">
        <v>1</v>
      </c>
      <c r="S18" s="306">
        <v>1.8</v>
      </c>
      <c r="T18" s="307">
        <v>3.406813627254509E-2</v>
      </c>
      <c r="U18" s="306">
        <v>1.1000000000000001</v>
      </c>
      <c r="V18" s="306">
        <v>1.5</v>
      </c>
      <c r="W18" s="306">
        <v>0</v>
      </c>
      <c r="X18" s="307">
        <v>2.0040080160320641E-6</v>
      </c>
      <c r="Y18" s="306">
        <v>0.1</v>
      </c>
      <c r="Z18" s="306">
        <v>0.1</v>
      </c>
      <c r="AA18" s="306">
        <v>0.8</v>
      </c>
      <c r="AB18" s="306">
        <v>0.9</v>
      </c>
    </row>
    <row r="19" spans="1:28" x14ac:dyDescent="0.15">
      <c r="A19" s="306" t="s">
        <v>825</v>
      </c>
      <c r="B19" s="306" t="s">
        <v>219</v>
      </c>
      <c r="C19" s="306" t="s">
        <v>826</v>
      </c>
      <c r="D19" s="306" t="s">
        <v>181</v>
      </c>
      <c r="E19" s="306" t="s">
        <v>182</v>
      </c>
      <c r="F19" s="306">
        <v>5</v>
      </c>
      <c r="G19" s="307">
        <v>1</v>
      </c>
      <c r="H19" s="306">
        <v>5</v>
      </c>
      <c r="I19" s="306">
        <v>5</v>
      </c>
      <c r="J19" s="306">
        <v>2</v>
      </c>
      <c r="K19" s="307">
        <v>1.8303585942325822E-2</v>
      </c>
      <c r="L19" s="306">
        <v>0</v>
      </c>
      <c r="M19" s="306">
        <v>1</v>
      </c>
      <c r="N19" s="306">
        <v>3.7</v>
      </c>
      <c r="O19" s="306">
        <v>2.1</v>
      </c>
      <c r="P19" s="307">
        <v>0.15224562293834051</v>
      </c>
      <c r="Q19" s="306">
        <v>0.7</v>
      </c>
      <c r="R19" s="306">
        <v>1.4</v>
      </c>
      <c r="S19" s="306">
        <v>1.5</v>
      </c>
      <c r="T19" s="307">
        <v>0.02</v>
      </c>
      <c r="U19" s="306">
        <v>0.7</v>
      </c>
      <c r="V19" s="306">
        <v>1.1000000000000001</v>
      </c>
      <c r="W19" s="306" t="s">
        <v>246</v>
      </c>
      <c r="X19" s="307" t="s">
        <v>246</v>
      </c>
      <c r="Y19" s="306" t="s">
        <v>246</v>
      </c>
      <c r="Z19" s="306" t="s">
        <v>246</v>
      </c>
      <c r="AA19" s="306">
        <v>1.1000000000000001</v>
      </c>
      <c r="AB19" s="306">
        <v>1.3</v>
      </c>
    </row>
    <row r="20" spans="1:28" x14ac:dyDescent="0.15">
      <c r="A20" s="306" t="s">
        <v>185</v>
      </c>
      <c r="B20" s="306" t="s">
        <v>809</v>
      </c>
      <c r="C20" s="306" t="s">
        <v>186</v>
      </c>
      <c r="D20" s="306" t="s">
        <v>75</v>
      </c>
      <c r="E20" s="306" t="s">
        <v>76</v>
      </c>
      <c r="F20" s="306">
        <v>4.7</v>
      </c>
      <c r="G20" s="307">
        <v>1</v>
      </c>
      <c r="H20" s="306">
        <v>5</v>
      </c>
      <c r="I20" s="306">
        <v>4.8499999999999996</v>
      </c>
      <c r="J20" s="306">
        <v>2.6</v>
      </c>
      <c r="K20" s="307">
        <v>1</v>
      </c>
      <c r="L20" s="306">
        <v>5</v>
      </c>
      <c r="M20" s="306">
        <v>3.8</v>
      </c>
      <c r="N20" s="306">
        <v>4.4000000000000004</v>
      </c>
      <c r="O20" s="306">
        <v>3.8</v>
      </c>
      <c r="P20" s="307">
        <v>1</v>
      </c>
      <c r="Q20" s="306">
        <v>5</v>
      </c>
      <c r="R20" s="306">
        <v>4.4000000000000004</v>
      </c>
      <c r="S20" s="306">
        <v>4.5999999999999996</v>
      </c>
      <c r="T20" s="307">
        <v>0.26590163934426231</v>
      </c>
      <c r="U20" s="306">
        <v>5</v>
      </c>
      <c r="V20" s="306">
        <v>4.8</v>
      </c>
      <c r="W20" s="306">
        <v>3.4</v>
      </c>
      <c r="X20" s="307">
        <v>4.1967213114754095E-5</v>
      </c>
      <c r="Y20" s="306">
        <v>2.1</v>
      </c>
      <c r="Z20" s="306">
        <v>2.8</v>
      </c>
      <c r="AA20" s="306">
        <v>4</v>
      </c>
      <c r="AB20" s="306">
        <v>4.2</v>
      </c>
    </row>
    <row r="21" spans="1:28" x14ac:dyDescent="0.15">
      <c r="A21" s="306" t="s">
        <v>187</v>
      </c>
      <c r="B21" s="306" t="s">
        <v>824</v>
      </c>
      <c r="C21" s="306" t="s">
        <v>188</v>
      </c>
      <c r="D21" s="306" t="s">
        <v>189</v>
      </c>
      <c r="E21" s="306" t="s">
        <v>190</v>
      </c>
      <c r="F21" s="306">
        <v>4.8</v>
      </c>
      <c r="G21" s="307">
        <v>1</v>
      </c>
      <c r="H21" s="306">
        <v>5</v>
      </c>
      <c r="I21" s="306">
        <v>4.9000000000000004</v>
      </c>
      <c r="J21" s="306">
        <v>4.3</v>
      </c>
      <c r="K21" s="307">
        <v>1</v>
      </c>
      <c r="L21" s="306">
        <v>5</v>
      </c>
      <c r="M21" s="306">
        <v>4.6500000000000004</v>
      </c>
      <c r="N21" s="306">
        <v>4.8</v>
      </c>
      <c r="O21" s="306">
        <v>4.4000000000000004</v>
      </c>
      <c r="P21" s="307">
        <v>0.66981228320750863</v>
      </c>
      <c r="Q21" s="306">
        <v>3.3</v>
      </c>
      <c r="R21" s="306">
        <v>3.85</v>
      </c>
      <c r="S21" s="306">
        <v>3.9</v>
      </c>
      <c r="T21" s="307">
        <v>3.7925519762394333E-2</v>
      </c>
      <c r="U21" s="306">
        <v>1.3</v>
      </c>
      <c r="V21" s="306">
        <v>2.6</v>
      </c>
      <c r="W21" s="306">
        <v>1.7</v>
      </c>
      <c r="X21" s="307">
        <v>1.1423349326022389E-6</v>
      </c>
      <c r="Y21" s="306">
        <v>0.1</v>
      </c>
      <c r="Z21" s="306">
        <v>0.9</v>
      </c>
      <c r="AA21" s="306">
        <v>1.8</v>
      </c>
      <c r="AB21" s="306">
        <v>3</v>
      </c>
    </row>
    <row r="22" spans="1:28" x14ac:dyDescent="0.15">
      <c r="A22" s="306" t="s">
        <v>191</v>
      </c>
      <c r="B22" s="306" t="s">
        <v>809</v>
      </c>
      <c r="C22" s="306" t="s">
        <v>192</v>
      </c>
      <c r="D22" s="306" t="s">
        <v>92</v>
      </c>
      <c r="E22" s="306" t="s">
        <v>93</v>
      </c>
      <c r="F22" s="306">
        <v>4.5</v>
      </c>
      <c r="G22" s="307">
        <v>1.0057752110173257</v>
      </c>
      <c r="H22" s="306">
        <v>5</v>
      </c>
      <c r="I22" s="306">
        <v>4.75</v>
      </c>
      <c r="J22" s="306">
        <v>4.7</v>
      </c>
      <c r="K22" s="307">
        <v>0.91423688988572038</v>
      </c>
      <c r="L22" s="306">
        <v>4.5999999999999996</v>
      </c>
      <c r="M22" s="306">
        <v>4.6500000000000004</v>
      </c>
      <c r="N22" s="306">
        <v>4.7</v>
      </c>
      <c r="O22" s="306">
        <v>3.5</v>
      </c>
      <c r="P22" s="307">
        <v>0.14988317757009345</v>
      </c>
      <c r="Q22" s="306">
        <v>0.7</v>
      </c>
      <c r="R22" s="306">
        <v>2.1</v>
      </c>
      <c r="S22" s="306">
        <v>4.8</v>
      </c>
      <c r="T22" s="307">
        <v>0.604312808521694</v>
      </c>
      <c r="U22" s="306">
        <v>5</v>
      </c>
      <c r="V22" s="306">
        <v>4.9000000000000004</v>
      </c>
      <c r="W22" s="306">
        <v>4</v>
      </c>
      <c r="X22" s="307">
        <v>1.5822291504286829E-4</v>
      </c>
      <c r="Y22" s="306">
        <v>5</v>
      </c>
      <c r="Z22" s="306">
        <v>4.5</v>
      </c>
      <c r="AA22" s="306">
        <v>4.7</v>
      </c>
      <c r="AB22" s="306">
        <v>3.7</v>
      </c>
    </row>
    <row r="23" spans="1:28" x14ac:dyDescent="0.15">
      <c r="A23" s="306" t="s">
        <v>827</v>
      </c>
      <c r="B23" s="306" t="s">
        <v>165</v>
      </c>
      <c r="C23" s="306" t="s">
        <v>193</v>
      </c>
      <c r="D23" s="306" t="s">
        <v>92</v>
      </c>
      <c r="E23" s="306" t="s">
        <v>93</v>
      </c>
      <c r="F23" s="306">
        <v>2.6</v>
      </c>
      <c r="G23" s="307">
        <v>7.3010936938080431E-2</v>
      </c>
      <c r="H23" s="306">
        <v>0.3</v>
      </c>
      <c r="I23" s="306">
        <v>1.45</v>
      </c>
      <c r="J23" s="306">
        <v>2.4</v>
      </c>
      <c r="K23" s="307">
        <v>0.18437822635195272</v>
      </c>
      <c r="L23" s="306">
        <v>0.9</v>
      </c>
      <c r="M23" s="306">
        <v>1.65</v>
      </c>
      <c r="N23" s="306">
        <v>1.6</v>
      </c>
      <c r="O23" s="306">
        <v>2.8</v>
      </c>
      <c r="P23" s="307">
        <v>0.30025101370921026</v>
      </c>
      <c r="Q23" s="306">
        <v>1.5</v>
      </c>
      <c r="R23" s="306">
        <v>2.15</v>
      </c>
      <c r="S23" s="306">
        <v>4.0999999999999996</v>
      </c>
      <c r="T23" s="307">
        <v>0.5112540192926045</v>
      </c>
      <c r="U23" s="306">
        <v>5</v>
      </c>
      <c r="V23" s="306">
        <v>4.5999999999999996</v>
      </c>
      <c r="W23" s="306">
        <v>3.7</v>
      </c>
      <c r="X23" s="307">
        <v>2.5659163987138263E-4</v>
      </c>
      <c r="Y23" s="306">
        <v>5</v>
      </c>
      <c r="Z23" s="306">
        <v>4.4000000000000004</v>
      </c>
      <c r="AA23" s="306">
        <v>4.5</v>
      </c>
      <c r="AB23" s="306">
        <v>3.6</v>
      </c>
    </row>
    <row r="24" spans="1:28" x14ac:dyDescent="0.15">
      <c r="A24" s="306" t="s">
        <v>194</v>
      </c>
      <c r="B24" s="306" t="s">
        <v>165</v>
      </c>
      <c r="C24" s="306" t="s">
        <v>195</v>
      </c>
      <c r="D24" s="306" t="s">
        <v>92</v>
      </c>
      <c r="E24" s="306" t="s">
        <v>93</v>
      </c>
      <c r="F24" s="306">
        <v>3.2</v>
      </c>
      <c r="G24" s="307">
        <v>0.18620084195384062</v>
      </c>
      <c r="H24" s="306">
        <v>0.8</v>
      </c>
      <c r="I24" s="306">
        <v>2</v>
      </c>
      <c r="J24" s="306">
        <v>3.9</v>
      </c>
      <c r="K24" s="307">
        <v>0.52871230730891094</v>
      </c>
      <c r="L24" s="306">
        <v>2.6</v>
      </c>
      <c r="M24" s="306">
        <v>3.25</v>
      </c>
      <c r="N24" s="306">
        <v>2.7</v>
      </c>
      <c r="O24" s="306">
        <v>2.9</v>
      </c>
      <c r="P24" s="307">
        <v>0.11352770857181335</v>
      </c>
      <c r="Q24" s="306">
        <v>0.5</v>
      </c>
      <c r="R24" s="306">
        <v>1.7</v>
      </c>
      <c r="S24" s="306">
        <v>4.4000000000000004</v>
      </c>
      <c r="T24" s="307">
        <v>0.70344009489916959</v>
      </c>
      <c r="U24" s="306">
        <v>5</v>
      </c>
      <c r="V24" s="306">
        <v>4.7</v>
      </c>
      <c r="W24" s="306">
        <v>3.3</v>
      </c>
      <c r="X24" s="307">
        <v>1.2099644128113879E-4</v>
      </c>
      <c r="Y24" s="306">
        <v>5</v>
      </c>
      <c r="Z24" s="306">
        <v>4.2</v>
      </c>
      <c r="AA24" s="306">
        <v>4.5</v>
      </c>
      <c r="AB24" s="306">
        <v>3.4</v>
      </c>
    </row>
    <row r="25" spans="1:28" x14ac:dyDescent="0.15">
      <c r="A25" s="306" t="s">
        <v>196</v>
      </c>
      <c r="B25" s="306" t="s">
        <v>809</v>
      </c>
      <c r="C25" s="306" t="s">
        <v>197</v>
      </c>
      <c r="D25" s="306" t="s">
        <v>92</v>
      </c>
      <c r="E25" s="306" t="s">
        <v>93</v>
      </c>
      <c r="F25" s="306">
        <v>3.9</v>
      </c>
      <c r="G25" s="307">
        <v>0.48934441835374753</v>
      </c>
      <c r="H25" s="306">
        <v>2.4</v>
      </c>
      <c r="I25" s="306">
        <v>3.15</v>
      </c>
      <c r="J25" s="306">
        <v>2.5</v>
      </c>
      <c r="K25" s="307">
        <v>0.20114635622485671</v>
      </c>
      <c r="L25" s="306">
        <v>1</v>
      </c>
      <c r="M25" s="306">
        <v>1.75</v>
      </c>
      <c r="N25" s="306">
        <v>2.5</v>
      </c>
      <c r="O25" s="306">
        <v>2.1</v>
      </c>
      <c r="P25" s="307">
        <v>0.10743362831858407</v>
      </c>
      <c r="Q25" s="306">
        <v>0.5</v>
      </c>
      <c r="R25" s="306">
        <v>1.3</v>
      </c>
      <c r="S25" s="306">
        <v>3.6</v>
      </c>
      <c r="T25" s="307">
        <v>0.56672158154859964</v>
      </c>
      <c r="U25" s="306">
        <v>5</v>
      </c>
      <c r="V25" s="306">
        <v>4.3</v>
      </c>
      <c r="W25" s="306">
        <v>1.1000000000000001</v>
      </c>
      <c r="X25" s="307">
        <v>9.8846787479406924E-6</v>
      </c>
      <c r="Y25" s="306">
        <v>0.5</v>
      </c>
      <c r="Z25" s="306">
        <v>0.8</v>
      </c>
      <c r="AA25" s="306">
        <v>3</v>
      </c>
      <c r="AB25" s="306">
        <v>2.2000000000000002</v>
      </c>
    </row>
    <row r="26" spans="1:28" x14ac:dyDescent="0.15">
      <c r="A26" s="306" t="s">
        <v>198</v>
      </c>
      <c r="B26" s="306" t="s">
        <v>828</v>
      </c>
      <c r="C26" s="306" t="s">
        <v>199</v>
      </c>
      <c r="D26" s="306" t="s">
        <v>63</v>
      </c>
      <c r="E26" s="306" t="s">
        <v>64</v>
      </c>
      <c r="F26" s="306">
        <v>5</v>
      </c>
      <c r="G26" s="307">
        <v>1.0343221366974702</v>
      </c>
      <c r="H26" s="306">
        <v>5</v>
      </c>
      <c r="I26" s="306">
        <v>5</v>
      </c>
      <c r="J26" s="306">
        <v>5</v>
      </c>
      <c r="K26" s="307">
        <v>1</v>
      </c>
      <c r="L26" s="306">
        <v>5</v>
      </c>
      <c r="M26" s="306">
        <v>5</v>
      </c>
      <c r="N26" s="306">
        <v>5</v>
      </c>
      <c r="O26" s="306">
        <v>4.9000000000000004</v>
      </c>
      <c r="P26" s="307">
        <v>0.24339681721063877</v>
      </c>
      <c r="Q26" s="306">
        <v>1.2</v>
      </c>
      <c r="R26" s="306">
        <v>3.0500000000000003</v>
      </c>
      <c r="S26" s="306">
        <v>5</v>
      </c>
      <c r="T26" s="307">
        <v>0.42460933065950279</v>
      </c>
      <c r="U26" s="306">
        <v>5</v>
      </c>
      <c r="V26" s="306">
        <v>5</v>
      </c>
      <c r="W26" s="306">
        <v>4.7</v>
      </c>
      <c r="X26" s="307">
        <v>6.825835256725566E-5</v>
      </c>
      <c r="Y26" s="306">
        <v>3.4</v>
      </c>
      <c r="Z26" s="306">
        <v>4.0999999999999996</v>
      </c>
      <c r="AA26" s="306">
        <v>4.5999999999999996</v>
      </c>
      <c r="AB26" s="306">
        <v>4</v>
      </c>
    </row>
    <row r="27" spans="1:28" x14ac:dyDescent="0.15">
      <c r="A27" s="306" t="s">
        <v>200</v>
      </c>
      <c r="B27" s="306" t="s">
        <v>165</v>
      </c>
      <c r="C27" s="306" t="s">
        <v>201</v>
      </c>
      <c r="D27" s="306" t="s">
        <v>202</v>
      </c>
      <c r="E27" s="306" t="s">
        <v>203</v>
      </c>
      <c r="F27" s="306">
        <v>4.2</v>
      </c>
      <c r="G27" s="307">
        <v>1</v>
      </c>
      <c r="H27" s="306">
        <v>5</v>
      </c>
      <c r="I27" s="306">
        <v>4.5999999999999996</v>
      </c>
      <c r="J27" s="306">
        <v>2.5</v>
      </c>
      <c r="K27" s="307">
        <v>1</v>
      </c>
      <c r="L27" s="306">
        <v>5</v>
      </c>
      <c r="M27" s="306">
        <v>3.75</v>
      </c>
      <c r="N27" s="306">
        <v>4.2</v>
      </c>
      <c r="O27" s="306">
        <v>1.6</v>
      </c>
      <c r="P27" s="307">
        <v>5.0517241379310344E-2</v>
      </c>
      <c r="Q27" s="306">
        <v>0.2</v>
      </c>
      <c r="R27" s="306">
        <v>0.9</v>
      </c>
      <c r="S27" s="306">
        <v>3.4</v>
      </c>
      <c r="T27" s="307">
        <v>0.78839590443686003</v>
      </c>
      <c r="U27" s="306">
        <v>5</v>
      </c>
      <c r="V27" s="306">
        <v>4.2</v>
      </c>
      <c r="W27" s="306">
        <v>0</v>
      </c>
      <c r="X27" s="307">
        <v>0</v>
      </c>
      <c r="Y27" s="306">
        <v>0</v>
      </c>
      <c r="Z27" s="306">
        <v>0</v>
      </c>
      <c r="AA27" s="306">
        <v>2.7</v>
      </c>
      <c r="AB27" s="306">
        <v>1.9</v>
      </c>
    </row>
    <row r="28" spans="1:28" x14ac:dyDescent="0.15">
      <c r="A28" s="306" t="s">
        <v>204</v>
      </c>
      <c r="B28" s="306" t="s">
        <v>829</v>
      </c>
      <c r="C28" s="306" t="s">
        <v>205</v>
      </c>
      <c r="D28" s="306" t="s">
        <v>104</v>
      </c>
      <c r="E28" s="306" t="s">
        <v>105</v>
      </c>
      <c r="F28" s="306">
        <v>5</v>
      </c>
      <c r="G28" s="307">
        <v>1</v>
      </c>
      <c r="H28" s="306">
        <v>5</v>
      </c>
      <c r="I28" s="306">
        <v>5</v>
      </c>
      <c r="J28" s="306">
        <v>5</v>
      </c>
      <c r="K28" s="307">
        <v>1</v>
      </c>
      <c r="L28" s="306">
        <v>5</v>
      </c>
      <c r="M28" s="306">
        <v>5</v>
      </c>
      <c r="N28" s="306">
        <v>5</v>
      </c>
      <c r="O28" s="306">
        <v>4.2</v>
      </c>
      <c r="P28" s="307">
        <v>0.18992248062015504</v>
      </c>
      <c r="Q28" s="306">
        <v>0.9</v>
      </c>
      <c r="R28" s="306">
        <v>2.5500000000000003</v>
      </c>
      <c r="S28" s="306">
        <v>5</v>
      </c>
      <c r="T28" s="307">
        <v>0.70632653061224493</v>
      </c>
      <c r="U28" s="306">
        <v>5</v>
      </c>
      <c r="V28" s="306">
        <v>5</v>
      </c>
      <c r="W28" s="306">
        <v>4.3</v>
      </c>
      <c r="X28" s="307">
        <v>1.0357142857142858E-4</v>
      </c>
      <c r="Y28" s="306">
        <v>5</v>
      </c>
      <c r="Z28" s="306">
        <v>4.7</v>
      </c>
      <c r="AA28" s="306">
        <v>4.9000000000000004</v>
      </c>
      <c r="AB28" s="306">
        <v>4</v>
      </c>
    </row>
    <row r="29" spans="1:28" x14ac:dyDescent="0.15">
      <c r="A29" s="306" t="s">
        <v>206</v>
      </c>
      <c r="B29" s="306" t="s">
        <v>824</v>
      </c>
      <c r="C29" s="306" t="s">
        <v>207</v>
      </c>
      <c r="D29" s="306" t="s">
        <v>104</v>
      </c>
      <c r="E29" s="306" t="s">
        <v>105</v>
      </c>
      <c r="F29" s="306">
        <v>2.6</v>
      </c>
      <c r="G29" s="307">
        <v>3.1101397025687247E-2</v>
      </c>
      <c r="H29" s="306">
        <v>0.1</v>
      </c>
      <c r="I29" s="306">
        <v>1.35</v>
      </c>
      <c r="J29" s="306">
        <v>4.7</v>
      </c>
      <c r="K29" s="307">
        <v>0.49498062015503874</v>
      </c>
      <c r="L29" s="306">
        <v>2.4</v>
      </c>
      <c r="M29" s="306">
        <v>3.55</v>
      </c>
      <c r="N29" s="306">
        <v>2.6</v>
      </c>
      <c r="O29" s="306">
        <v>4.7</v>
      </c>
      <c r="P29" s="307">
        <v>0.87381073567988721</v>
      </c>
      <c r="Q29" s="306">
        <v>4.4000000000000004</v>
      </c>
      <c r="R29" s="306">
        <v>4.5500000000000007</v>
      </c>
      <c r="S29" s="306">
        <v>5</v>
      </c>
      <c r="T29" s="307">
        <v>0.13173223407115334</v>
      </c>
      <c r="U29" s="306">
        <v>4.4000000000000004</v>
      </c>
      <c r="V29" s="306">
        <v>4.7</v>
      </c>
      <c r="W29" s="306">
        <v>1.6</v>
      </c>
      <c r="X29" s="306">
        <v>5.8248947038265079E-7</v>
      </c>
      <c r="Y29" s="306">
        <v>0</v>
      </c>
      <c r="Z29" s="306">
        <v>0.8</v>
      </c>
      <c r="AA29" s="306">
        <v>3.3</v>
      </c>
      <c r="AB29" s="306">
        <v>4</v>
      </c>
    </row>
    <row r="30" spans="1:28" x14ac:dyDescent="0.15">
      <c r="A30" s="306" t="s">
        <v>208</v>
      </c>
      <c r="B30" s="306" t="s">
        <v>824</v>
      </c>
      <c r="C30" s="306" t="s">
        <v>209</v>
      </c>
      <c r="D30" s="306" t="s">
        <v>210</v>
      </c>
      <c r="E30" s="306" t="s">
        <v>211</v>
      </c>
      <c r="F30" s="306">
        <v>0</v>
      </c>
      <c r="G30" s="307">
        <v>1.9643556600078341E-2</v>
      </c>
      <c r="H30" s="306">
        <v>0</v>
      </c>
      <c r="I30" s="306">
        <v>0</v>
      </c>
      <c r="J30" s="306">
        <v>1.3</v>
      </c>
      <c r="K30" s="307">
        <v>0.4495597945707997</v>
      </c>
      <c r="L30" s="306">
        <v>2.2000000000000002</v>
      </c>
      <c r="M30" s="306">
        <v>1.75</v>
      </c>
      <c r="N30" s="306">
        <v>0.9</v>
      </c>
      <c r="O30" s="306">
        <v>1.5</v>
      </c>
      <c r="P30" s="307">
        <v>9.5879232966136277E-2</v>
      </c>
      <c r="Q30" s="306">
        <v>0.4</v>
      </c>
      <c r="R30" s="306">
        <v>0.95</v>
      </c>
      <c r="S30" s="306">
        <v>3.4</v>
      </c>
      <c r="T30" s="307">
        <v>1</v>
      </c>
      <c r="U30" s="306">
        <v>5</v>
      </c>
      <c r="V30" s="306">
        <v>4.2</v>
      </c>
      <c r="W30" s="306">
        <v>2.9</v>
      </c>
      <c r="X30" s="307">
        <v>4.2553191489361702E-4</v>
      </c>
      <c r="Y30" s="306">
        <v>5</v>
      </c>
      <c r="Z30" s="306">
        <v>4</v>
      </c>
      <c r="AA30" s="306">
        <v>4.0999999999999996</v>
      </c>
      <c r="AB30" s="306">
        <v>2.9</v>
      </c>
    </row>
    <row r="31" spans="1:28" x14ac:dyDescent="0.15">
      <c r="A31" s="306" t="s">
        <v>830</v>
      </c>
      <c r="B31" s="306" t="s">
        <v>809</v>
      </c>
      <c r="C31" s="306" t="s">
        <v>831</v>
      </c>
      <c r="D31" s="306" t="s">
        <v>568</v>
      </c>
      <c r="E31" s="306" t="s">
        <v>569</v>
      </c>
      <c r="F31" s="306">
        <v>3.1</v>
      </c>
      <c r="G31" s="307">
        <v>1.0000025911166157</v>
      </c>
      <c r="H31" s="306">
        <v>5</v>
      </c>
      <c r="I31" s="306">
        <v>4.05</v>
      </c>
      <c r="J31" s="306">
        <v>3.5</v>
      </c>
      <c r="K31" s="307">
        <v>1</v>
      </c>
      <c r="L31" s="306">
        <v>5</v>
      </c>
      <c r="M31" s="306">
        <v>4.25</v>
      </c>
      <c r="N31" s="306">
        <v>4.2</v>
      </c>
      <c r="O31" s="306">
        <v>1.8</v>
      </c>
      <c r="P31" s="307">
        <v>3.4467161208612269E-2</v>
      </c>
      <c r="Q31" s="306">
        <v>0.1</v>
      </c>
      <c r="R31" s="306">
        <v>0.95000000000000007</v>
      </c>
      <c r="S31" s="306">
        <v>3.7</v>
      </c>
      <c r="T31" s="307">
        <v>1</v>
      </c>
      <c r="U31" s="306">
        <v>5</v>
      </c>
      <c r="V31" s="306">
        <v>4.4000000000000004</v>
      </c>
      <c r="W31" s="306">
        <v>0</v>
      </c>
      <c r="X31" s="307">
        <v>0</v>
      </c>
      <c r="Y31" s="306">
        <v>0</v>
      </c>
      <c r="Z31" s="306">
        <v>0</v>
      </c>
      <c r="AA31" s="306">
        <v>2.8</v>
      </c>
      <c r="AB31" s="306">
        <v>2</v>
      </c>
    </row>
    <row r="32" spans="1:28" x14ac:dyDescent="0.15">
      <c r="A32" s="306" t="s">
        <v>212</v>
      </c>
      <c r="B32" s="306" t="s">
        <v>832</v>
      </c>
      <c r="C32" s="306" t="s">
        <v>213</v>
      </c>
      <c r="D32" s="306" t="s">
        <v>214</v>
      </c>
      <c r="E32" s="306" t="s">
        <v>215</v>
      </c>
      <c r="F32" s="306">
        <v>2.2999999999999998</v>
      </c>
      <c r="G32" s="307">
        <v>1</v>
      </c>
      <c r="H32" s="306">
        <v>5</v>
      </c>
      <c r="I32" s="306">
        <v>3.65</v>
      </c>
      <c r="J32" s="306">
        <v>0.2</v>
      </c>
      <c r="K32" s="307">
        <v>1</v>
      </c>
      <c r="L32" s="306">
        <v>5</v>
      </c>
      <c r="M32" s="306">
        <v>2.6</v>
      </c>
      <c r="N32" s="306">
        <v>3.2</v>
      </c>
      <c r="O32" s="306">
        <v>2.2999999999999998</v>
      </c>
      <c r="P32" s="307">
        <v>0.60659898477157359</v>
      </c>
      <c r="Q32" s="306">
        <v>3</v>
      </c>
      <c r="R32" s="306">
        <v>2.65</v>
      </c>
      <c r="S32" s="306">
        <v>2.2000000000000002</v>
      </c>
      <c r="T32" s="306">
        <v>5.0209205020920501E-2</v>
      </c>
      <c r="U32" s="306">
        <v>1.7</v>
      </c>
      <c r="V32" s="306">
        <v>2</v>
      </c>
      <c r="W32" s="306">
        <v>0</v>
      </c>
      <c r="X32" s="306">
        <v>0</v>
      </c>
      <c r="Y32" s="306">
        <v>0</v>
      </c>
      <c r="Z32" s="306">
        <v>0</v>
      </c>
      <c r="AA32" s="306">
        <v>1.1000000000000001</v>
      </c>
      <c r="AB32" s="306">
        <v>1.9</v>
      </c>
    </row>
    <row r="33" spans="1:28" x14ac:dyDescent="0.15">
      <c r="A33" s="306" t="s">
        <v>216</v>
      </c>
      <c r="B33" s="306" t="s">
        <v>824</v>
      </c>
      <c r="C33" s="306" t="s">
        <v>217</v>
      </c>
      <c r="D33" s="306" t="s">
        <v>214</v>
      </c>
      <c r="E33" s="306" t="s">
        <v>215</v>
      </c>
      <c r="F33" s="306">
        <v>1.4</v>
      </c>
      <c r="G33" s="307">
        <v>0.31492666091458155</v>
      </c>
      <c r="H33" s="306">
        <v>1.5</v>
      </c>
      <c r="I33" s="306">
        <v>1.45</v>
      </c>
      <c r="J33" s="306">
        <v>0</v>
      </c>
      <c r="K33" s="307">
        <v>0.57191201353637899</v>
      </c>
      <c r="L33" s="306">
        <v>2.8</v>
      </c>
      <c r="M33" s="306">
        <v>1.4</v>
      </c>
      <c r="N33" s="306">
        <v>1.4</v>
      </c>
      <c r="O33" s="306">
        <v>0</v>
      </c>
      <c r="P33" s="307">
        <v>4.4378698224852069E-2</v>
      </c>
      <c r="Q33" s="306">
        <v>0.2</v>
      </c>
      <c r="R33" s="306">
        <v>0.1</v>
      </c>
      <c r="S33" s="306">
        <v>2.1</v>
      </c>
      <c r="T33" s="307">
        <v>1</v>
      </c>
      <c r="U33" s="306">
        <v>5</v>
      </c>
      <c r="V33" s="306">
        <v>3.6</v>
      </c>
      <c r="W33" s="306">
        <v>0</v>
      </c>
      <c r="X33" s="306">
        <v>0</v>
      </c>
      <c r="Y33" s="306">
        <v>0</v>
      </c>
      <c r="Z33" s="306">
        <v>0</v>
      </c>
      <c r="AA33" s="306">
        <v>2.2000000000000002</v>
      </c>
      <c r="AB33" s="306">
        <v>1.3</v>
      </c>
    </row>
    <row r="34" spans="1:28" x14ac:dyDescent="0.15">
      <c r="A34" s="306" t="s">
        <v>218</v>
      </c>
      <c r="B34" s="306" t="s">
        <v>219</v>
      </c>
      <c r="C34" s="306" t="s">
        <v>220</v>
      </c>
      <c r="D34" s="306" t="s">
        <v>214</v>
      </c>
      <c r="E34" s="306" t="s">
        <v>215</v>
      </c>
      <c r="F34" s="306">
        <v>2.2999999999999998</v>
      </c>
      <c r="G34" s="307">
        <v>1</v>
      </c>
      <c r="H34" s="306">
        <v>5</v>
      </c>
      <c r="I34" s="306">
        <v>3.65</v>
      </c>
      <c r="J34" s="306">
        <v>0.2</v>
      </c>
      <c r="K34" s="307">
        <v>1</v>
      </c>
      <c r="L34" s="306">
        <v>5</v>
      </c>
      <c r="M34" s="306">
        <v>2.6</v>
      </c>
      <c r="N34" s="306">
        <v>3.2</v>
      </c>
      <c r="O34" s="306">
        <v>2.2000000000000002</v>
      </c>
      <c r="P34" s="307">
        <v>0.58121827411167515</v>
      </c>
      <c r="Q34" s="306">
        <v>2.9</v>
      </c>
      <c r="R34" s="306">
        <v>2.5499999999999998</v>
      </c>
      <c r="S34" s="306">
        <v>1.1000000000000001</v>
      </c>
      <c r="T34" s="307">
        <v>8.7336244541484712E-3</v>
      </c>
      <c r="U34" s="306">
        <v>0.3</v>
      </c>
      <c r="V34" s="306">
        <v>0.7</v>
      </c>
      <c r="W34" s="306">
        <v>0</v>
      </c>
      <c r="X34" s="307">
        <v>0</v>
      </c>
      <c r="Y34" s="306">
        <v>0</v>
      </c>
      <c r="Z34" s="306">
        <v>0</v>
      </c>
      <c r="AA34" s="306">
        <v>0.4</v>
      </c>
      <c r="AB34" s="306">
        <v>1.6</v>
      </c>
    </row>
    <row r="35" spans="1:28" x14ac:dyDescent="0.15">
      <c r="A35" s="306" t="s">
        <v>221</v>
      </c>
      <c r="B35" s="306" t="s">
        <v>824</v>
      </c>
      <c r="C35" s="306" t="s">
        <v>222</v>
      </c>
      <c r="D35" s="306" t="s">
        <v>223</v>
      </c>
      <c r="E35" s="306" t="s">
        <v>224</v>
      </c>
      <c r="F35" s="306">
        <v>2.8</v>
      </c>
      <c r="G35" s="307">
        <v>1.0163893038227683</v>
      </c>
      <c r="H35" s="306">
        <v>5</v>
      </c>
      <c r="I35" s="306">
        <v>3.9</v>
      </c>
      <c r="J35" s="306">
        <v>3.5</v>
      </c>
      <c r="K35" s="307">
        <v>1</v>
      </c>
      <c r="L35" s="306">
        <v>5</v>
      </c>
      <c r="M35" s="306">
        <v>4.25</v>
      </c>
      <c r="N35" s="306">
        <v>4.0999999999999996</v>
      </c>
      <c r="O35" s="306">
        <v>1</v>
      </c>
      <c r="P35" s="307">
        <v>1.1042835515183898E-2</v>
      </c>
      <c r="Q35" s="306">
        <v>0</v>
      </c>
      <c r="R35" s="306">
        <v>0.5</v>
      </c>
      <c r="S35" s="306">
        <v>3</v>
      </c>
      <c r="T35" s="307">
        <v>1</v>
      </c>
      <c r="U35" s="306">
        <v>5</v>
      </c>
      <c r="V35" s="306">
        <v>4</v>
      </c>
      <c r="W35" s="306" t="s">
        <v>246</v>
      </c>
      <c r="X35" s="307" t="s">
        <v>246</v>
      </c>
      <c r="Y35" s="306" t="s">
        <v>246</v>
      </c>
      <c r="Z35" s="306" t="s">
        <v>246</v>
      </c>
      <c r="AA35" s="306">
        <v>4</v>
      </c>
      <c r="AB35" s="306">
        <v>2.7</v>
      </c>
    </row>
    <row r="36" spans="1:28" x14ac:dyDescent="0.15">
      <c r="A36" s="306" t="s">
        <v>225</v>
      </c>
      <c r="B36" s="306" t="s">
        <v>824</v>
      </c>
      <c r="C36" s="306" t="s">
        <v>226</v>
      </c>
      <c r="D36" s="306" t="s">
        <v>227</v>
      </c>
      <c r="E36" s="306" t="s">
        <v>228</v>
      </c>
      <c r="F36" s="306">
        <v>5</v>
      </c>
      <c r="G36" s="307">
        <v>1</v>
      </c>
      <c r="H36" s="306">
        <v>5</v>
      </c>
      <c r="I36" s="306">
        <v>5</v>
      </c>
      <c r="J36" s="306">
        <v>5</v>
      </c>
      <c r="K36" s="307">
        <v>1</v>
      </c>
      <c r="L36" s="306">
        <v>5</v>
      </c>
      <c r="M36" s="306">
        <v>5</v>
      </c>
      <c r="N36" s="306">
        <v>5</v>
      </c>
      <c r="O36" s="306">
        <v>1.5</v>
      </c>
      <c r="P36" s="307">
        <v>5.7176398973868428E-3</v>
      </c>
      <c r="Q36" s="306">
        <v>0</v>
      </c>
      <c r="R36" s="306">
        <v>0.75</v>
      </c>
      <c r="S36" s="306">
        <v>3.5</v>
      </c>
      <c r="T36" s="307">
        <v>1</v>
      </c>
      <c r="U36" s="306">
        <v>5</v>
      </c>
      <c r="V36" s="306">
        <v>4.3</v>
      </c>
      <c r="W36" s="306">
        <v>3.9</v>
      </c>
      <c r="X36" s="307">
        <v>2.1102661596958173E-3</v>
      </c>
      <c r="Y36" s="306">
        <v>5</v>
      </c>
      <c r="Z36" s="306">
        <v>4.5</v>
      </c>
      <c r="AA36" s="306">
        <v>4.4000000000000004</v>
      </c>
      <c r="AB36" s="306">
        <v>3.1</v>
      </c>
    </row>
    <row r="37" spans="1:28" x14ac:dyDescent="0.15">
      <c r="A37" s="306" t="s">
        <v>229</v>
      </c>
      <c r="B37" s="306" t="s">
        <v>824</v>
      </c>
      <c r="C37" s="306" t="s">
        <v>230</v>
      </c>
      <c r="D37" s="306" t="s">
        <v>227</v>
      </c>
      <c r="E37" s="306" t="s">
        <v>228</v>
      </c>
      <c r="F37" s="306">
        <v>3.7</v>
      </c>
      <c r="G37" s="307">
        <v>6.6757888452186873E-2</v>
      </c>
      <c r="H37" s="306">
        <v>0.2</v>
      </c>
      <c r="I37" s="306">
        <v>1.9500000000000002</v>
      </c>
      <c r="J37" s="306">
        <v>0</v>
      </c>
      <c r="K37" s="307">
        <v>4.848036871168312E-3</v>
      </c>
      <c r="L37" s="306">
        <v>0</v>
      </c>
      <c r="M37" s="306">
        <v>0</v>
      </c>
      <c r="N37" s="306">
        <v>1.1000000000000001</v>
      </c>
      <c r="O37" s="306">
        <v>1.2</v>
      </c>
      <c r="P37" s="307">
        <v>0.78026905829596416</v>
      </c>
      <c r="Q37" s="306">
        <v>3.9</v>
      </c>
      <c r="R37" s="306">
        <v>2.5499999999999998</v>
      </c>
      <c r="S37" s="306" t="s">
        <v>246</v>
      </c>
      <c r="T37" s="307" t="s">
        <v>246</v>
      </c>
      <c r="U37" s="306" t="s">
        <v>246</v>
      </c>
      <c r="V37" s="306" t="s">
        <v>246</v>
      </c>
      <c r="W37" s="306">
        <v>0</v>
      </c>
      <c r="X37" s="307">
        <v>5.7471264367816091E-6</v>
      </c>
      <c r="Y37" s="306">
        <v>0.3</v>
      </c>
      <c r="Z37" s="306">
        <v>0.2</v>
      </c>
      <c r="AA37" s="306">
        <v>0.2</v>
      </c>
      <c r="AB37" s="306">
        <v>1.5</v>
      </c>
    </row>
    <row r="38" spans="1:28" x14ac:dyDescent="0.15">
      <c r="A38" s="306" t="s">
        <v>231</v>
      </c>
      <c r="B38" s="306" t="s">
        <v>824</v>
      </c>
      <c r="C38" s="306" t="s">
        <v>232</v>
      </c>
      <c r="D38" s="306" t="s">
        <v>227</v>
      </c>
      <c r="E38" s="306" t="s">
        <v>228</v>
      </c>
      <c r="F38" s="306">
        <v>5</v>
      </c>
      <c r="G38" s="307">
        <v>1</v>
      </c>
      <c r="H38" s="306">
        <v>5</v>
      </c>
      <c r="I38" s="306">
        <v>5</v>
      </c>
      <c r="J38" s="306">
        <v>5</v>
      </c>
      <c r="K38" s="307">
        <v>1.0048480368711683</v>
      </c>
      <c r="L38" s="306">
        <v>5</v>
      </c>
      <c r="M38" s="306">
        <v>5</v>
      </c>
      <c r="N38" s="306">
        <v>5</v>
      </c>
      <c r="O38" s="306">
        <v>1.9</v>
      </c>
      <c r="P38" s="307">
        <v>9.4545769239090457E-3</v>
      </c>
      <c r="Q38" s="306">
        <v>0</v>
      </c>
      <c r="R38" s="306">
        <v>0.95</v>
      </c>
      <c r="S38" s="306">
        <v>3.5</v>
      </c>
      <c r="T38" s="307">
        <v>0.60183066361556059</v>
      </c>
      <c r="U38" s="306">
        <v>5</v>
      </c>
      <c r="V38" s="306">
        <v>4.3</v>
      </c>
      <c r="W38" s="306">
        <v>3.9</v>
      </c>
      <c r="X38" s="307">
        <v>1.2768878718535468E-3</v>
      </c>
      <c r="Y38" s="306">
        <v>5</v>
      </c>
      <c r="Z38" s="306">
        <v>4.5</v>
      </c>
      <c r="AA38" s="306">
        <v>4.4000000000000004</v>
      </c>
      <c r="AB38" s="306">
        <v>3.1</v>
      </c>
    </row>
    <row r="39" spans="1:28" x14ac:dyDescent="0.15">
      <c r="A39" s="306" t="s">
        <v>233</v>
      </c>
      <c r="B39" s="306" t="s">
        <v>824</v>
      </c>
      <c r="C39" s="306" t="s">
        <v>234</v>
      </c>
      <c r="D39" s="306" t="s">
        <v>235</v>
      </c>
      <c r="E39" s="306" t="s">
        <v>236</v>
      </c>
      <c r="F39" s="306">
        <v>4</v>
      </c>
      <c r="G39" s="307">
        <v>1</v>
      </c>
      <c r="H39" s="306">
        <v>5</v>
      </c>
      <c r="I39" s="306">
        <v>4.5</v>
      </c>
      <c r="J39" s="306">
        <v>4.2</v>
      </c>
      <c r="K39" s="307">
        <v>1</v>
      </c>
      <c r="L39" s="306">
        <v>5</v>
      </c>
      <c r="M39" s="306">
        <v>4.5999999999999996</v>
      </c>
      <c r="N39" s="306">
        <v>4.5999999999999996</v>
      </c>
      <c r="O39" s="306">
        <v>4</v>
      </c>
      <c r="P39" s="307">
        <v>0.42175434698072328</v>
      </c>
      <c r="Q39" s="306">
        <v>2.1</v>
      </c>
      <c r="R39" s="306">
        <v>3.05</v>
      </c>
      <c r="S39" s="306">
        <v>3.8</v>
      </c>
      <c r="T39" s="307">
        <v>6.256585879873551E-2</v>
      </c>
      <c r="U39" s="306">
        <v>2.1</v>
      </c>
      <c r="V39" s="306">
        <v>3</v>
      </c>
      <c r="W39" s="306">
        <v>0</v>
      </c>
      <c r="X39" s="306">
        <v>0</v>
      </c>
      <c r="Y39" s="306">
        <v>0</v>
      </c>
      <c r="Z39" s="306">
        <v>0</v>
      </c>
      <c r="AA39" s="306">
        <v>1.7</v>
      </c>
      <c r="AB39" s="306">
        <v>2.4</v>
      </c>
    </row>
    <row r="40" spans="1:28" x14ac:dyDescent="0.15">
      <c r="A40" s="306" t="s">
        <v>833</v>
      </c>
      <c r="B40" s="306" t="s">
        <v>821</v>
      </c>
      <c r="C40" s="306" t="s">
        <v>834</v>
      </c>
      <c r="D40" s="306" t="s">
        <v>237</v>
      </c>
      <c r="E40" s="306" t="s">
        <v>238</v>
      </c>
      <c r="F40" s="306">
        <v>3.3</v>
      </c>
      <c r="G40" s="307">
        <v>9.1488040584660202E-2</v>
      </c>
      <c r="H40" s="306">
        <v>0.4</v>
      </c>
      <c r="I40" s="306">
        <v>1.8499999999999999</v>
      </c>
      <c r="J40" s="306">
        <v>5</v>
      </c>
      <c r="K40" s="307">
        <v>1</v>
      </c>
      <c r="L40" s="306">
        <v>5</v>
      </c>
      <c r="M40" s="306">
        <v>5</v>
      </c>
      <c r="N40" s="306">
        <v>3.9</v>
      </c>
      <c r="O40" s="306">
        <v>2.1</v>
      </c>
      <c r="P40" s="307">
        <v>4.7486721305708959E-3</v>
      </c>
      <c r="Q40" s="306">
        <v>0</v>
      </c>
      <c r="R40" s="306">
        <v>1.05</v>
      </c>
      <c r="S40" s="306">
        <v>3.9</v>
      </c>
      <c r="T40" s="307">
        <v>1</v>
      </c>
      <c r="U40" s="306">
        <v>5</v>
      </c>
      <c r="V40" s="306">
        <v>4.5</v>
      </c>
      <c r="W40" s="306">
        <v>1</v>
      </c>
      <c r="X40" s="307">
        <v>9.2592592592592591E-6</v>
      </c>
      <c r="Y40" s="306">
        <v>0.5</v>
      </c>
      <c r="Z40" s="306">
        <v>0.8</v>
      </c>
      <c r="AA40" s="306">
        <v>3.2</v>
      </c>
      <c r="AB40" s="306">
        <v>2.2999999999999998</v>
      </c>
    </row>
    <row r="41" spans="1:28" x14ac:dyDescent="0.15">
      <c r="A41" s="306" t="s">
        <v>239</v>
      </c>
      <c r="B41" s="306" t="s">
        <v>835</v>
      </c>
      <c r="C41" s="306" t="s">
        <v>240</v>
      </c>
      <c r="D41" s="306" t="s">
        <v>241</v>
      </c>
      <c r="E41" s="306" t="s">
        <v>242</v>
      </c>
      <c r="F41" s="306">
        <v>3.5</v>
      </c>
      <c r="G41" s="307">
        <v>1.0000016523354109</v>
      </c>
      <c r="H41" s="306">
        <v>5</v>
      </c>
      <c r="I41" s="306">
        <v>4.25</v>
      </c>
      <c r="J41" s="306">
        <v>1.9</v>
      </c>
      <c r="K41" s="307">
        <v>1</v>
      </c>
      <c r="L41" s="306">
        <v>5</v>
      </c>
      <c r="M41" s="306">
        <v>3.45</v>
      </c>
      <c r="N41" s="306">
        <v>3.9</v>
      </c>
      <c r="O41" s="306">
        <v>2.6</v>
      </c>
      <c r="P41" s="307">
        <v>0.28962611901000529</v>
      </c>
      <c r="Q41" s="306">
        <v>1.4</v>
      </c>
      <c r="R41" s="306">
        <v>2</v>
      </c>
      <c r="S41" s="306">
        <v>4</v>
      </c>
      <c r="T41" s="307">
        <v>0.57545454545454544</v>
      </c>
      <c r="U41" s="306">
        <v>5</v>
      </c>
      <c r="V41" s="306">
        <v>4.5</v>
      </c>
      <c r="W41" s="306" t="s">
        <v>246</v>
      </c>
      <c r="X41" s="307" t="s">
        <v>246</v>
      </c>
      <c r="Y41" s="306" t="s">
        <v>246</v>
      </c>
      <c r="Z41" s="306" t="s">
        <v>246</v>
      </c>
      <c r="AA41" s="306">
        <v>4.5</v>
      </c>
      <c r="AB41" s="306">
        <v>3.5</v>
      </c>
    </row>
    <row r="42" spans="1:28" x14ac:dyDescent="0.15">
      <c r="A42" s="306" t="s">
        <v>836</v>
      </c>
      <c r="B42" s="306" t="s">
        <v>824</v>
      </c>
      <c r="C42" s="306" t="s">
        <v>243</v>
      </c>
      <c r="D42" s="306" t="s">
        <v>244</v>
      </c>
      <c r="E42" s="306" t="s">
        <v>245</v>
      </c>
      <c r="F42" s="306">
        <v>3.3</v>
      </c>
      <c r="G42" s="307">
        <v>0.2001067769761945</v>
      </c>
      <c r="H42" s="306">
        <v>0.9</v>
      </c>
      <c r="I42" s="306">
        <v>2.1</v>
      </c>
      <c r="J42" s="306">
        <v>5</v>
      </c>
      <c r="K42" s="307">
        <v>1</v>
      </c>
      <c r="L42" s="306">
        <v>5</v>
      </c>
      <c r="M42" s="306">
        <v>5</v>
      </c>
      <c r="N42" s="306">
        <v>4</v>
      </c>
      <c r="O42" s="306">
        <v>0.6</v>
      </c>
      <c r="P42" s="307">
        <v>1.5141318977119785E-3</v>
      </c>
      <c r="Q42" s="306">
        <v>0</v>
      </c>
      <c r="R42" s="306">
        <v>0.3</v>
      </c>
      <c r="S42" s="306">
        <v>2.7</v>
      </c>
      <c r="T42" s="307">
        <v>1</v>
      </c>
      <c r="U42" s="306">
        <v>5</v>
      </c>
      <c r="V42" s="306">
        <v>3.9</v>
      </c>
      <c r="W42" s="306">
        <v>3.2</v>
      </c>
      <c r="X42" s="307">
        <v>2.4583333333333332E-3</v>
      </c>
      <c r="Y42" s="306">
        <v>5</v>
      </c>
      <c r="Z42" s="306">
        <v>4.0999999999999996</v>
      </c>
      <c r="AA42" s="306">
        <v>4</v>
      </c>
      <c r="AB42" s="306">
        <v>2.6</v>
      </c>
    </row>
    <row r="43" spans="1:28" x14ac:dyDescent="0.15">
      <c r="A43" s="306" t="s">
        <v>837</v>
      </c>
      <c r="B43" s="306" t="s">
        <v>809</v>
      </c>
      <c r="C43" s="306" t="s">
        <v>838</v>
      </c>
      <c r="D43" s="306" t="s">
        <v>570</v>
      </c>
      <c r="E43" s="306" t="s">
        <v>571</v>
      </c>
      <c r="F43" s="306">
        <v>2.7</v>
      </c>
      <c r="G43" s="307">
        <v>1</v>
      </c>
      <c r="H43" s="306">
        <v>5</v>
      </c>
      <c r="I43" s="306">
        <v>3.85</v>
      </c>
      <c r="J43" s="306">
        <v>0.5</v>
      </c>
      <c r="K43" s="307">
        <v>1</v>
      </c>
      <c r="L43" s="306">
        <v>5</v>
      </c>
      <c r="M43" s="306">
        <v>2.75</v>
      </c>
      <c r="N43" s="306">
        <v>3.4</v>
      </c>
      <c r="O43" s="306">
        <v>0.1</v>
      </c>
      <c r="P43" s="307">
        <v>2.7397260273972601E-2</v>
      </c>
      <c r="Q43" s="306">
        <v>0.1</v>
      </c>
      <c r="R43" s="306">
        <v>0.1</v>
      </c>
      <c r="S43" s="306">
        <v>2.2999999999999998</v>
      </c>
      <c r="T43" s="307">
        <v>1</v>
      </c>
      <c r="U43" s="306">
        <v>5</v>
      </c>
      <c r="V43" s="306">
        <v>3.7</v>
      </c>
      <c r="W43" s="306">
        <v>0</v>
      </c>
      <c r="X43" s="307">
        <v>0</v>
      </c>
      <c r="Y43" s="306">
        <v>0</v>
      </c>
      <c r="Z43" s="306">
        <v>0</v>
      </c>
      <c r="AA43" s="306">
        <v>2.2999999999999998</v>
      </c>
      <c r="AB43" s="306">
        <v>1.3</v>
      </c>
    </row>
    <row r="44" spans="1:28" x14ac:dyDescent="0.15">
      <c r="A44" s="306" t="s">
        <v>247</v>
      </c>
      <c r="B44" s="306" t="s">
        <v>839</v>
      </c>
      <c r="C44" s="306" t="s">
        <v>248</v>
      </c>
      <c r="D44" s="306" t="s">
        <v>61</v>
      </c>
      <c r="E44" s="306" t="s">
        <v>62</v>
      </c>
      <c r="F44" s="306">
        <v>5</v>
      </c>
      <c r="G44" s="307">
        <v>0.99999973417718491</v>
      </c>
      <c r="H44" s="306">
        <v>5</v>
      </c>
      <c r="I44" s="306">
        <v>5</v>
      </c>
      <c r="J44" s="306">
        <v>5</v>
      </c>
      <c r="K44" s="307">
        <v>1</v>
      </c>
      <c r="L44" s="306">
        <v>5</v>
      </c>
      <c r="M44" s="306">
        <v>5</v>
      </c>
      <c r="N44" s="306">
        <v>5</v>
      </c>
      <c r="O44" s="306">
        <v>5</v>
      </c>
      <c r="P44" s="307">
        <v>0.67097724668521852</v>
      </c>
      <c r="Q44" s="306">
        <v>3.3</v>
      </c>
      <c r="R44" s="306">
        <v>4.1500000000000004</v>
      </c>
      <c r="S44" s="306">
        <v>5</v>
      </c>
      <c r="T44" s="307">
        <v>5.1499204219379875E-2</v>
      </c>
      <c r="U44" s="306">
        <v>1.7</v>
      </c>
      <c r="V44" s="306">
        <v>3.4</v>
      </c>
      <c r="W44" s="306">
        <v>5</v>
      </c>
      <c r="X44" s="307">
        <v>4.3738891018715367E-5</v>
      </c>
      <c r="Y44" s="306">
        <v>2.2000000000000002</v>
      </c>
      <c r="Z44" s="306">
        <v>3.6</v>
      </c>
      <c r="AA44" s="306">
        <v>3.5</v>
      </c>
      <c r="AB44" s="306">
        <v>3.8</v>
      </c>
    </row>
    <row r="45" spans="1:28" x14ac:dyDescent="0.15">
      <c r="A45" s="306" t="s">
        <v>249</v>
      </c>
      <c r="B45" s="306" t="s">
        <v>824</v>
      </c>
      <c r="C45" s="306" t="s">
        <v>250</v>
      </c>
      <c r="D45" s="306" t="s">
        <v>61</v>
      </c>
      <c r="E45" s="306" t="s">
        <v>62</v>
      </c>
      <c r="F45" s="306">
        <v>5</v>
      </c>
      <c r="G45" s="307">
        <v>0.99999973417718491</v>
      </c>
      <c r="H45" s="306">
        <v>5</v>
      </c>
      <c r="I45" s="306">
        <v>5</v>
      </c>
      <c r="J45" s="306">
        <v>5</v>
      </c>
      <c r="K45" s="307">
        <v>1</v>
      </c>
      <c r="L45" s="306">
        <v>5</v>
      </c>
      <c r="M45" s="306">
        <v>5</v>
      </c>
      <c r="N45" s="306">
        <v>5</v>
      </c>
      <c r="O45" s="306">
        <v>5</v>
      </c>
      <c r="P45" s="307">
        <v>0.32722213128171551</v>
      </c>
      <c r="Q45" s="306">
        <v>1.6</v>
      </c>
      <c r="R45" s="306">
        <v>3.3</v>
      </c>
      <c r="S45" s="306">
        <v>4.3</v>
      </c>
      <c r="T45" s="307">
        <v>2.3178255794563948E-2</v>
      </c>
      <c r="U45" s="306">
        <v>0.8</v>
      </c>
      <c r="V45" s="306">
        <v>2.6</v>
      </c>
      <c r="W45" s="306" t="s">
        <v>246</v>
      </c>
      <c r="X45" s="307" t="s">
        <v>246</v>
      </c>
      <c r="Y45" s="306" t="s">
        <v>246</v>
      </c>
      <c r="Z45" s="306" t="s">
        <v>246</v>
      </c>
      <c r="AA45" s="306">
        <v>2.6</v>
      </c>
      <c r="AB45" s="306">
        <v>3</v>
      </c>
    </row>
    <row r="46" spans="1:28" x14ac:dyDescent="0.15">
      <c r="A46" s="306" t="s">
        <v>251</v>
      </c>
      <c r="B46" s="306" t="s">
        <v>809</v>
      </c>
      <c r="C46" s="306" t="s">
        <v>252</v>
      </c>
      <c r="D46" s="306" t="s">
        <v>61</v>
      </c>
      <c r="E46" s="306" t="s">
        <v>62</v>
      </c>
      <c r="F46" s="306">
        <v>4.0999999999999996</v>
      </c>
      <c r="G46" s="307">
        <v>0.26493673904342596</v>
      </c>
      <c r="H46" s="306">
        <v>1.2</v>
      </c>
      <c r="I46" s="306">
        <v>2.65</v>
      </c>
      <c r="J46" s="306">
        <v>5</v>
      </c>
      <c r="K46" s="307">
        <v>0.23852395762692047</v>
      </c>
      <c r="L46" s="306">
        <v>1.2</v>
      </c>
      <c r="M46" s="306">
        <v>3.1</v>
      </c>
      <c r="N46" s="306">
        <v>2.9</v>
      </c>
      <c r="O46" s="306">
        <v>5</v>
      </c>
      <c r="P46" s="307">
        <v>1</v>
      </c>
      <c r="Q46" s="306">
        <v>5</v>
      </c>
      <c r="R46" s="306">
        <v>5</v>
      </c>
      <c r="S46" s="306">
        <v>4.8</v>
      </c>
      <c r="T46" s="307">
        <v>7.3496732026143791E-2</v>
      </c>
      <c r="U46" s="306">
        <v>2.4</v>
      </c>
      <c r="V46" s="306">
        <v>3.6</v>
      </c>
      <c r="W46" s="306">
        <v>4.0999999999999996</v>
      </c>
      <c r="X46" s="307">
        <v>2.3790849673202613E-5</v>
      </c>
      <c r="Y46" s="306">
        <v>1.2</v>
      </c>
      <c r="Z46" s="306">
        <v>2.7</v>
      </c>
      <c r="AA46" s="306">
        <v>3.2</v>
      </c>
      <c r="AB46" s="306">
        <v>4.3</v>
      </c>
    </row>
    <row r="47" spans="1:28" x14ac:dyDescent="0.15">
      <c r="A47" s="306" t="s">
        <v>253</v>
      </c>
      <c r="B47" s="306" t="s">
        <v>219</v>
      </c>
      <c r="C47" s="306" t="s">
        <v>254</v>
      </c>
      <c r="D47" s="306" t="s">
        <v>61</v>
      </c>
      <c r="E47" s="306" t="s">
        <v>62</v>
      </c>
      <c r="F47" s="306">
        <v>4.8</v>
      </c>
      <c r="G47" s="307">
        <v>0.69495653486846598</v>
      </c>
      <c r="H47" s="306">
        <v>3.4</v>
      </c>
      <c r="I47" s="306">
        <v>4.0999999999999996</v>
      </c>
      <c r="J47" s="306">
        <v>5</v>
      </c>
      <c r="K47" s="307">
        <v>0.4864017959450927</v>
      </c>
      <c r="L47" s="306">
        <v>2.4</v>
      </c>
      <c r="M47" s="306">
        <v>3.7</v>
      </c>
      <c r="N47" s="306">
        <v>3.9</v>
      </c>
      <c r="O47" s="306">
        <v>4.8</v>
      </c>
      <c r="P47" s="307">
        <v>0.38621794871794873</v>
      </c>
      <c r="Q47" s="306">
        <v>1.9</v>
      </c>
      <c r="R47" s="306">
        <v>3.3499999999999996</v>
      </c>
      <c r="S47" s="306">
        <v>4</v>
      </c>
      <c r="T47" s="307">
        <v>2.5809128630705395E-2</v>
      </c>
      <c r="U47" s="306">
        <v>0.9</v>
      </c>
      <c r="V47" s="306">
        <v>2.5</v>
      </c>
      <c r="W47" s="306">
        <v>2</v>
      </c>
      <c r="X47" s="307">
        <v>9.9585062240663902E-7</v>
      </c>
      <c r="Y47" s="306">
        <v>0</v>
      </c>
      <c r="Z47" s="306">
        <v>1</v>
      </c>
      <c r="AA47" s="306">
        <v>1.8</v>
      </c>
      <c r="AB47" s="306">
        <v>2.7</v>
      </c>
    </row>
    <row r="48" spans="1:28" x14ac:dyDescent="0.15">
      <c r="A48" s="306" t="s">
        <v>255</v>
      </c>
      <c r="B48" s="306" t="s">
        <v>824</v>
      </c>
      <c r="C48" s="306" t="s">
        <v>256</v>
      </c>
      <c r="D48" s="306" t="s">
        <v>257</v>
      </c>
      <c r="E48" s="306" t="s">
        <v>258</v>
      </c>
      <c r="F48" s="306">
        <v>1.7</v>
      </c>
      <c r="G48" s="307">
        <v>7.5841737781225757E-2</v>
      </c>
      <c r="H48" s="306">
        <v>0.3</v>
      </c>
      <c r="I48" s="306">
        <v>1</v>
      </c>
      <c r="J48" s="306">
        <v>0</v>
      </c>
      <c r="K48" s="307">
        <v>6.2338160544739618E-2</v>
      </c>
      <c r="L48" s="306">
        <v>0.3</v>
      </c>
      <c r="M48" s="306">
        <v>0.15</v>
      </c>
      <c r="N48" s="306">
        <v>0.6</v>
      </c>
      <c r="O48" s="306">
        <v>1.3</v>
      </c>
      <c r="P48" s="307">
        <v>0.28769230769230769</v>
      </c>
      <c r="Q48" s="306">
        <v>1.4</v>
      </c>
      <c r="R48" s="306">
        <v>1.35</v>
      </c>
      <c r="S48" s="306">
        <v>3.2</v>
      </c>
      <c r="T48" s="307">
        <v>1</v>
      </c>
      <c r="U48" s="306">
        <v>5</v>
      </c>
      <c r="V48" s="306">
        <v>4.0999999999999996</v>
      </c>
      <c r="W48" s="306">
        <v>1.7</v>
      </c>
      <c r="X48" s="307">
        <v>8.0213903743315507E-5</v>
      </c>
      <c r="Y48" s="306">
        <v>4</v>
      </c>
      <c r="Z48" s="306">
        <v>2.9</v>
      </c>
      <c r="AA48" s="306">
        <v>3.6</v>
      </c>
      <c r="AB48" s="306">
        <v>2.6</v>
      </c>
    </row>
    <row r="49" spans="1:28" x14ac:dyDescent="0.15">
      <c r="A49" s="306" t="s">
        <v>259</v>
      </c>
      <c r="B49" s="306" t="s">
        <v>840</v>
      </c>
      <c r="C49" s="306" t="s">
        <v>260</v>
      </c>
      <c r="D49" s="306" t="s">
        <v>102</v>
      </c>
      <c r="E49" s="306" t="s">
        <v>103</v>
      </c>
      <c r="F49" s="306">
        <v>3.4</v>
      </c>
      <c r="G49" s="307">
        <v>1</v>
      </c>
      <c r="H49" s="306">
        <v>5</v>
      </c>
      <c r="I49" s="306">
        <v>4.2</v>
      </c>
      <c r="J49" s="306">
        <v>4.2</v>
      </c>
      <c r="K49" s="307">
        <v>1</v>
      </c>
      <c r="L49" s="306">
        <v>5</v>
      </c>
      <c r="M49" s="306">
        <v>4.5999999999999996</v>
      </c>
      <c r="N49" s="306">
        <v>4.4000000000000004</v>
      </c>
      <c r="O49" s="306">
        <v>4.0999999999999996</v>
      </c>
      <c r="P49" s="307">
        <v>0.52056818181818176</v>
      </c>
      <c r="Q49" s="306">
        <v>2.6</v>
      </c>
      <c r="R49" s="306">
        <v>3.3499999999999996</v>
      </c>
      <c r="S49" s="306">
        <v>2.9</v>
      </c>
      <c r="T49" s="307">
        <v>1.14603798297315E-2</v>
      </c>
      <c r="U49" s="306">
        <v>0.4</v>
      </c>
      <c r="V49" s="306">
        <v>1.7</v>
      </c>
      <c r="W49" s="306">
        <v>3.2</v>
      </c>
      <c r="X49" s="307">
        <v>1.8445754202139269E-5</v>
      </c>
      <c r="Y49" s="306">
        <v>0.9</v>
      </c>
      <c r="Z49" s="306">
        <v>2.1</v>
      </c>
      <c r="AA49" s="306">
        <v>1.9</v>
      </c>
      <c r="AB49" s="306">
        <v>2.7</v>
      </c>
    </row>
    <row r="50" spans="1:28" x14ac:dyDescent="0.15">
      <c r="A50" s="306" t="s">
        <v>261</v>
      </c>
      <c r="B50" s="306" t="s">
        <v>840</v>
      </c>
      <c r="C50" s="306" t="s">
        <v>262</v>
      </c>
      <c r="D50" s="306" t="s">
        <v>108</v>
      </c>
      <c r="E50" s="306" t="s">
        <v>109</v>
      </c>
      <c r="F50" s="306">
        <v>3.4</v>
      </c>
      <c r="G50" s="307">
        <v>1</v>
      </c>
      <c r="H50" s="306">
        <v>5</v>
      </c>
      <c r="I50" s="306">
        <v>4.2</v>
      </c>
      <c r="J50" s="306">
        <v>3.3</v>
      </c>
      <c r="K50" s="307">
        <v>1</v>
      </c>
      <c r="L50" s="306">
        <v>5</v>
      </c>
      <c r="M50" s="306">
        <v>4.1500000000000004</v>
      </c>
      <c r="N50" s="306">
        <v>4.2</v>
      </c>
      <c r="O50" s="306">
        <v>3.8</v>
      </c>
      <c r="P50" s="307">
        <v>0.59671626475115447</v>
      </c>
      <c r="Q50" s="306">
        <v>3</v>
      </c>
      <c r="R50" s="306">
        <v>3.4</v>
      </c>
      <c r="S50" s="306">
        <v>4.0999999999999996</v>
      </c>
      <c r="T50" s="307">
        <v>0.129664660361135</v>
      </c>
      <c r="U50" s="306">
        <v>4.3</v>
      </c>
      <c r="V50" s="306">
        <v>4.2</v>
      </c>
      <c r="W50" s="306">
        <v>3.2</v>
      </c>
      <c r="X50" s="307">
        <v>3.2330180567497847E-5</v>
      </c>
      <c r="Y50" s="306">
        <v>1.6</v>
      </c>
      <c r="Z50" s="306">
        <v>2.4</v>
      </c>
      <c r="AA50" s="306">
        <v>3.4</v>
      </c>
      <c r="AB50" s="306">
        <v>3.4</v>
      </c>
    </row>
    <row r="51" spans="1:28" x14ac:dyDescent="0.15">
      <c r="A51" s="306" t="s">
        <v>263</v>
      </c>
      <c r="B51" s="306" t="s">
        <v>841</v>
      </c>
      <c r="C51" s="306" t="s">
        <v>264</v>
      </c>
      <c r="D51" s="306" t="s">
        <v>71</v>
      </c>
      <c r="E51" s="306" t="s">
        <v>72</v>
      </c>
      <c r="F51" s="306">
        <v>2.4</v>
      </c>
      <c r="G51" s="307">
        <v>1</v>
      </c>
      <c r="H51" s="306">
        <v>5</v>
      </c>
      <c r="I51" s="306">
        <v>3.7</v>
      </c>
      <c r="J51" s="306">
        <v>3.5</v>
      </c>
      <c r="K51" s="307">
        <v>1</v>
      </c>
      <c r="L51" s="306">
        <v>5</v>
      </c>
      <c r="M51" s="306">
        <v>4.25</v>
      </c>
      <c r="N51" s="306">
        <v>4</v>
      </c>
      <c r="O51" s="306">
        <v>4</v>
      </c>
      <c r="P51" s="307">
        <v>0.71052631578947367</v>
      </c>
      <c r="Q51" s="306">
        <v>3.5</v>
      </c>
      <c r="R51" s="306">
        <v>3.75</v>
      </c>
      <c r="S51" s="306">
        <v>3.1</v>
      </c>
      <c r="T51" s="307">
        <v>1.9506172839506172E-2</v>
      </c>
      <c r="U51" s="306">
        <v>0.7</v>
      </c>
      <c r="V51" s="306">
        <v>1.9</v>
      </c>
      <c r="W51" s="306">
        <v>4.0999999999999996</v>
      </c>
      <c r="X51" s="307">
        <v>8.8518518518518522E-5</v>
      </c>
      <c r="Y51" s="306">
        <v>4.4000000000000004</v>
      </c>
      <c r="Z51" s="306">
        <v>4.3</v>
      </c>
      <c r="AA51" s="306">
        <v>3.3</v>
      </c>
      <c r="AB51" s="306">
        <v>3.5</v>
      </c>
    </row>
    <row r="52" spans="1:28" x14ac:dyDescent="0.15">
      <c r="A52" s="306" t="s">
        <v>842</v>
      </c>
      <c r="B52" s="306" t="s">
        <v>809</v>
      </c>
      <c r="C52" s="306" t="s">
        <v>265</v>
      </c>
      <c r="D52" s="306" t="s">
        <v>266</v>
      </c>
      <c r="E52" s="306" t="s">
        <v>267</v>
      </c>
      <c r="F52" s="306">
        <v>3.3</v>
      </c>
      <c r="G52" s="307">
        <v>1.0192088538242385</v>
      </c>
      <c r="H52" s="306">
        <v>5</v>
      </c>
      <c r="I52" s="306">
        <v>4.1500000000000004</v>
      </c>
      <c r="J52" s="306">
        <v>3.3</v>
      </c>
      <c r="K52" s="307">
        <v>1</v>
      </c>
      <c r="L52" s="306">
        <v>5</v>
      </c>
      <c r="M52" s="306">
        <v>4.1500000000000004</v>
      </c>
      <c r="N52" s="306">
        <v>4.2</v>
      </c>
      <c r="O52" s="306">
        <v>0.5</v>
      </c>
      <c r="P52" s="307">
        <v>6.7978164589556078E-3</v>
      </c>
      <c r="Q52" s="306">
        <v>0</v>
      </c>
      <c r="R52" s="306">
        <v>0.25</v>
      </c>
      <c r="S52" s="306">
        <v>2.6</v>
      </c>
      <c r="T52" s="307">
        <v>1</v>
      </c>
      <c r="U52" s="306">
        <v>5</v>
      </c>
      <c r="V52" s="306">
        <v>3.8</v>
      </c>
      <c r="W52" s="306">
        <v>0</v>
      </c>
      <c r="X52" s="307">
        <v>0</v>
      </c>
      <c r="Y52" s="306">
        <v>0</v>
      </c>
      <c r="Z52" s="306">
        <v>0</v>
      </c>
      <c r="AA52" s="306">
        <v>2.2999999999999998</v>
      </c>
      <c r="AB52" s="306">
        <v>1.4</v>
      </c>
    </row>
    <row r="53" spans="1:28" x14ac:dyDescent="0.15">
      <c r="A53" s="306" t="s">
        <v>268</v>
      </c>
      <c r="B53" s="306" t="s">
        <v>843</v>
      </c>
      <c r="C53" s="306" t="s">
        <v>269</v>
      </c>
      <c r="D53" s="306" t="s">
        <v>270</v>
      </c>
      <c r="E53" s="306" t="s">
        <v>271</v>
      </c>
      <c r="F53" s="306">
        <v>4.4000000000000004</v>
      </c>
      <c r="G53" s="307">
        <v>0.22297417433729155</v>
      </c>
      <c r="H53" s="306">
        <v>1</v>
      </c>
      <c r="I53" s="306">
        <v>2.7</v>
      </c>
      <c r="J53" s="306">
        <v>2.5</v>
      </c>
      <c r="K53" s="307">
        <v>2.0124864458778816E-2</v>
      </c>
      <c r="L53" s="306">
        <v>0.1</v>
      </c>
      <c r="M53" s="306">
        <v>1.3</v>
      </c>
      <c r="N53" s="306">
        <v>2.1</v>
      </c>
      <c r="O53" s="306">
        <v>3.7</v>
      </c>
      <c r="P53" s="307">
        <v>1</v>
      </c>
      <c r="Q53" s="306">
        <v>5</v>
      </c>
      <c r="R53" s="306">
        <v>4.3499999999999996</v>
      </c>
      <c r="S53" s="306">
        <v>2.9</v>
      </c>
      <c r="T53" s="307">
        <v>1.8389113644722323E-2</v>
      </c>
      <c r="U53" s="306">
        <v>0.6</v>
      </c>
      <c r="V53" s="306">
        <v>1.8</v>
      </c>
      <c r="W53" s="306">
        <v>2.8</v>
      </c>
      <c r="X53" s="306">
        <v>1.7653549098933432E-5</v>
      </c>
      <c r="Y53" s="306">
        <v>0.9</v>
      </c>
      <c r="Z53" s="306">
        <v>1.9</v>
      </c>
      <c r="AA53" s="306">
        <v>1.9</v>
      </c>
      <c r="AB53" s="306">
        <v>3.4</v>
      </c>
    </row>
    <row r="54" spans="1:28" x14ac:dyDescent="0.15">
      <c r="A54" s="306" t="s">
        <v>274</v>
      </c>
      <c r="B54" s="306" t="s">
        <v>824</v>
      </c>
      <c r="C54" s="306" t="s">
        <v>275</v>
      </c>
      <c r="D54" s="306" t="s">
        <v>276</v>
      </c>
      <c r="E54" s="306" t="s">
        <v>277</v>
      </c>
      <c r="F54" s="306">
        <v>4</v>
      </c>
      <c r="G54" s="307">
        <v>0.14764930662557782</v>
      </c>
      <c r="H54" s="306">
        <v>0.7</v>
      </c>
      <c r="I54" s="306">
        <v>2.35</v>
      </c>
      <c r="J54" s="306">
        <v>4.5999999999999996</v>
      </c>
      <c r="K54" s="307">
        <v>0.27721876640273391</v>
      </c>
      <c r="L54" s="306">
        <v>1.3</v>
      </c>
      <c r="M54" s="306">
        <v>2.9499999999999997</v>
      </c>
      <c r="N54" s="306">
        <v>2.7</v>
      </c>
      <c r="O54" s="306">
        <v>3.6</v>
      </c>
      <c r="P54" s="307">
        <v>0.18035692704346776</v>
      </c>
      <c r="Q54" s="306">
        <v>0.9</v>
      </c>
      <c r="R54" s="306">
        <v>2.25</v>
      </c>
      <c r="S54" s="306">
        <v>5</v>
      </c>
      <c r="T54" s="307">
        <v>1</v>
      </c>
      <c r="U54" s="306">
        <v>5</v>
      </c>
      <c r="V54" s="306">
        <v>5</v>
      </c>
      <c r="W54" s="306" t="s">
        <v>246</v>
      </c>
      <c r="X54" s="307" t="s">
        <v>246</v>
      </c>
      <c r="Y54" s="306" t="s">
        <v>246</v>
      </c>
      <c r="Z54" s="306" t="s">
        <v>246</v>
      </c>
      <c r="AA54" s="306">
        <v>5</v>
      </c>
      <c r="AB54" s="306">
        <v>4</v>
      </c>
    </row>
    <row r="55" spans="1:28" x14ac:dyDescent="0.15">
      <c r="A55" s="306" t="s">
        <v>278</v>
      </c>
      <c r="B55" s="306" t="s">
        <v>845</v>
      </c>
      <c r="C55" s="306" t="s">
        <v>279</v>
      </c>
      <c r="D55" s="306" t="s">
        <v>110</v>
      </c>
      <c r="E55" s="306" t="s">
        <v>111</v>
      </c>
      <c r="F55" s="306">
        <v>4.3</v>
      </c>
      <c r="G55" s="307">
        <v>0.88294696495042935</v>
      </c>
      <c r="H55" s="306">
        <v>4.4000000000000004</v>
      </c>
      <c r="I55" s="306">
        <v>4.3499999999999996</v>
      </c>
      <c r="J55" s="306">
        <v>5</v>
      </c>
      <c r="K55" s="307">
        <v>1</v>
      </c>
      <c r="L55" s="306">
        <v>5</v>
      </c>
      <c r="M55" s="306">
        <v>5</v>
      </c>
      <c r="N55" s="306">
        <v>4.7</v>
      </c>
      <c r="O55" s="306">
        <v>3.7</v>
      </c>
      <c r="P55" s="307">
        <v>0.12542700467457749</v>
      </c>
      <c r="Q55" s="306">
        <v>0.6</v>
      </c>
      <c r="R55" s="306">
        <v>2.15</v>
      </c>
      <c r="S55" s="306">
        <v>5</v>
      </c>
      <c r="T55" s="307">
        <v>1.1230962193155349</v>
      </c>
      <c r="U55" s="306">
        <v>5</v>
      </c>
      <c r="V55" s="306">
        <v>5</v>
      </c>
      <c r="W55" s="306">
        <v>4</v>
      </c>
      <c r="X55" s="307">
        <v>1.1790001791793586E-4</v>
      </c>
      <c r="Y55" s="306">
        <v>5</v>
      </c>
      <c r="Z55" s="306">
        <v>4.5</v>
      </c>
      <c r="AA55" s="306">
        <v>4.8</v>
      </c>
      <c r="AB55" s="306">
        <v>3.8</v>
      </c>
    </row>
    <row r="56" spans="1:28" x14ac:dyDescent="0.15">
      <c r="A56" s="306" t="s">
        <v>846</v>
      </c>
      <c r="B56" s="306" t="s">
        <v>847</v>
      </c>
      <c r="C56" s="306" t="s">
        <v>280</v>
      </c>
      <c r="D56" s="306" t="s">
        <v>110</v>
      </c>
      <c r="E56" s="306" t="s">
        <v>111</v>
      </c>
      <c r="F56" s="306">
        <v>4.3</v>
      </c>
      <c r="G56" s="307">
        <v>0.88294696495042935</v>
      </c>
      <c r="H56" s="306">
        <v>4.4000000000000004</v>
      </c>
      <c r="I56" s="306">
        <v>4.3499999999999996</v>
      </c>
      <c r="J56" s="306">
        <v>5</v>
      </c>
      <c r="K56" s="307">
        <v>0.98170622078389069</v>
      </c>
      <c r="L56" s="306">
        <v>4.9000000000000004</v>
      </c>
      <c r="M56" s="306">
        <v>4.95</v>
      </c>
      <c r="N56" s="306">
        <v>4.7</v>
      </c>
      <c r="O56" s="306">
        <v>3.7</v>
      </c>
      <c r="P56" s="307">
        <v>0.12133144086809212</v>
      </c>
      <c r="Q56" s="306">
        <v>0.6</v>
      </c>
      <c r="R56" s="306">
        <v>2.15</v>
      </c>
      <c r="S56" s="306">
        <v>5</v>
      </c>
      <c r="T56" s="307">
        <v>1.1296226415094339</v>
      </c>
      <c r="U56" s="306">
        <v>5</v>
      </c>
      <c r="V56" s="306">
        <v>5</v>
      </c>
      <c r="W56" s="306">
        <v>4</v>
      </c>
      <c r="X56" s="307">
        <v>1.2415094339622641E-4</v>
      </c>
      <c r="Y56" s="306">
        <v>5</v>
      </c>
      <c r="Z56" s="306">
        <v>4.5</v>
      </c>
      <c r="AA56" s="306">
        <v>4.8</v>
      </c>
      <c r="AB56" s="306">
        <v>3.8</v>
      </c>
    </row>
    <row r="57" spans="1:28" x14ac:dyDescent="0.15">
      <c r="A57" s="306" t="s">
        <v>281</v>
      </c>
      <c r="B57" s="306" t="s">
        <v>824</v>
      </c>
      <c r="C57" s="306" t="s">
        <v>282</v>
      </c>
      <c r="D57" s="306" t="s">
        <v>110</v>
      </c>
      <c r="E57" s="306" t="s">
        <v>111</v>
      </c>
      <c r="F57" s="306">
        <v>2.6</v>
      </c>
      <c r="G57" s="307">
        <v>8.2924851656654253E-2</v>
      </c>
      <c r="H57" s="306">
        <v>0.3</v>
      </c>
      <c r="I57" s="306">
        <v>1.45</v>
      </c>
      <c r="J57" s="306">
        <v>2.7</v>
      </c>
      <c r="K57" s="307">
        <v>0.14500179791441928</v>
      </c>
      <c r="L57" s="306">
        <v>0.7</v>
      </c>
      <c r="M57" s="306">
        <v>1.7000000000000002</v>
      </c>
      <c r="N57" s="306">
        <v>1.6</v>
      </c>
      <c r="O57" s="306">
        <v>2.2000000000000002</v>
      </c>
      <c r="P57" s="307">
        <v>0.10802851828890267</v>
      </c>
      <c r="Q57" s="306">
        <v>0.5</v>
      </c>
      <c r="R57" s="306">
        <v>1.35</v>
      </c>
      <c r="S57" s="306">
        <v>3.5</v>
      </c>
      <c r="T57" s="307">
        <v>0.4031563845050215</v>
      </c>
      <c r="U57" s="306">
        <v>5</v>
      </c>
      <c r="V57" s="306">
        <v>4.3</v>
      </c>
      <c r="W57" s="306">
        <v>0</v>
      </c>
      <c r="X57" s="307">
        <v>0</v>
      </c>
      <c r="Y57" s="306">
        <v>0</v>
      </c>
      <c r="Z57" s="306">
        <v>0</v>
      </c>
      <c r="AA57" s="306">
        <v>2.8</v>
      </c>
      <c r="AB57" s="306">
        <v>2.1</v>
      </c>
    </row>
    <row r="58" spans="1:28" x14ac:dyDescent="0.15">
      <c r="A58" s="306" t="s">
        <v>283</v>
      </c>
      <c r="B58" s="306" t="s">
        <v>824</v>
      </c>
      <c r="C58" s="306" t="s">
        <v>284</v>
      </c>
      <c r="D58" s="306" t="s">
        <v>285</v>
      </c>
      <c r="E58" s="306" t="s">
        <v>286</v>
      </c>
      <c r="F58" s="306">
        <v>2.7</v>
      </c>
      <c r="G58" s="307">
        <v>0.13883205902940987</v>
      </c>
      <c r="H58" s="306">
        <v>0.6</v>
      </c>
      <c r="I58" s="306">
        <v>1.6500000000000001</v>
      </c>
      <c r="J58" s="306">
        <v>5</v>
      </c>
      <c r="K58" s="307">
        <v>1</v>
      </c>
      <c r="L58" s="306">
        <v>5</v>
      </c>
      <c r="M58" s="306">
        <v>5</v>
      </c>
      <c r="N58" s="306">
        <v>3.9</v>
      </c>
      <c r="O58" s="306">
        <v>1.2</v>
      </c>
      <c r="P58" s="307">
        <v>2.7660874287265816E-3</v>
      </c>
      <c r="Q58" s="306">
        <v>0</v>
      </c>
      <c r="R58" s="306">
        <v>0.6</v>
      </c>
      <c r="S58" s="306">
        <v>3.2</v>
      </c>
      <c r="T58" s="307">
        <v>1</v>
      </c>
      <c r="U58" s="306">
        <v>5</v>
      </c>
      <c r="V58" s="306">
        <v>4.0999999999999996</v>
      </c>
      <c r="W58" s="306">
        <v>3.9</v>
      </c>
      <c r="X58" s="307">
        <v>3.4049079754601228E-3</v>
      </c>
      <c r="Y58" s="306">
        <v>5</v>
      </c>
      <c r="Z58" s="306">
        <v>4.5</v>
      </c>
      <c r="AA58" s="306">
        <v>4.3</v>
      </c>
      <c r="AB58" s="306">
        <v>2.9</v>
      </c>
    </row>
    <row r="59" spans="1:28" x14ac:dyDescent="0.15">
      <c r="A59" s="306" t="s">
        <v>287</v>
      </c>
      <c r="B59" s="306" t="s">
        <v>824</v>
      </c>
      <c r="C59" s="306" t="s">
        <v>288</v>
      </c>
      <c r="D59" s="306" t="s">
        <v>289</v>
      </c>
      <c r="E59" s="306" t="s">
        <v>290</v>
      </c>
      <c r="F59" s="306">
        <v>2.7</v>
      </c>
      <c r="G59" s="307">
        <v>0.45569520463094354</v>
      </c>
      <c r="H59" s="306">
        <v>2.2000000000000002</v>
      </c>
      <c r="I59" s="306">
        <v>2.4500000000000002</v>
      </c>
      <c r="J59" s="306">
        <v>3.2</v>
      </c>
      <c r="K59" s="307">
        <v>0.80304603669089647</v>
      </c>
      <c r="L59" s="306">
        <v>4</v>
      </c>
      <c r="M59" s="306">
        <v>3.6</v>
      </c>
      <c r="N59" s="306">
        <v>3.1</v>
      </c>
      <c r="O59" s="306">
        <v>2.9</v>
      </c>
      <c r="P59" s="307">
        <v>0.19816810344827587</v>
      </c>
      <c r="Q59" s="306">
        <v>1</v>
      </c>
      <c r="R59" s="306">
        <v>1.95</v>
      </c>
      <c r="S59" s="306">
        <v>4.5</v>
      </c>
      <c r="T59" s="307">
        <v>0.7172376291462752</v>
      </c>
      <c r="U59" s="306">
        <v>5</v>
      </c>
      <c r="V59" s="306">
        <v>4.8</v>
      </c>
      <c r="W59" s="306">
        <v>1</v>
      </c>
      <c r="X59" s="307">
        <v>2.7188689505165852E-6</v>
      </c>
      <c r="Y59" s="306">
        <v>0.1</v>
      </c>
      <c r="Z59" s="306">
        <v>0.6</v>
      </c>
      <c r="AA59" s="306">
        <v>3.4</v>
      </c>
      <c r="AB59" s="306">
        <v>2.7</v>
      </c>
    </row>
    <row r="60" spans="1:28" x14ac:dyDescent="0.15">
      <c r="A60" s="306" t="s">
        <v>848</v>
      </c>
      <c r="B60" s="306" t="s">
        <v>849</v>
      </c>
      <c r="C60" s="306" t="s">
        <v>291</v>
      </c>
      <c r="D60" s="306" t="s">
        <v>86</v>
      </c>
      <c r="E60" s="306" t="s">
        <v>87</v>
      </c>
      <c r="F60" s="306">
        <v>4.5999999999999996</v>
      </c>
      <c r="G60" s="307">
        <v>0.95517798784130448</v>
      </c>
      <c r="H60" s="306">
        <v>4.8</v>
      </c>
      <c r="I60" s="306">
        <v>4.6999999999999993</v>
      </c>
      <c r="J60" s="306">
        <v>4.9000000000000004</v>
      </c>
      <c r="K60" s="307">
        <v>0.52810000529689072</v>
      </c>
      <c r="L60" s="306">
        <v>2.6</v>
      </c>
      <c r="M60" s="306">
        <v>3.75</v>
      </c>
      <c r="N60" s="306">
        <v>4.3</v>
      </c>
      <c r="O60" s="306">
        <v>4.9000000000000004</v>
      </c>
      <c r="P60" s="307">
        <v>0.98131059846205282</v>
      </c>
      <c r="Q60" s="306">
        <v>4.9000000000000004</v>
      </c>
      <c r="R60" s="306">
        <v>4.9000000000000004</v>
      </c>
      <c r="S60" s="306">
        <v>4.0999999999999996</v>
      </c>
      <c r="T60" s="307">
        <v>2.6915607645395388E-2</v>
      </c>
      <c r="U60" s="306">
        <v>0.9</v>
      </c>
      <c r="V60" s="306">
        <v>2.5</v>
      </c>
      <c r="W60" s="306">
        <v>4</v>
      </c>
      <c r="X60" s="307">
        <v>2.2622738577901947E-5</v>
      </c>
      <c r="Y60" s="306">
        <v>1.1000000000000001</v>
      </c>
      <c r="Z60" s="306">
        <v>2.6</v>
      </c>
      <c r="AA60" s="306">
        <v>2.6</v>
      </c>
      <c r="AB60" s="306">
        <v>4</v>
      </c>
    </row>
    <row r="61" spans="1:28" x14ac:dyDescent="0.15">
      <c r="A61" s="306" t="s">
        <v>292</v>
      </c>
      <c r="B61" s="306" t="s">
        <v>824</v>
      </c>
      <c r="C61" s="306" t="s">
        <v>293</v>
      </c>
      <c r="D61" s="306" t="s">
        <v>86</v>
      </c>
      <c r="E61" s="306" t="s">
        <v>87</v>
      </c>
      <c r="F61" s="306">
        <v>2.6</v>
      </c>
      <c r="G61" s="307">
        <v>6.7196120462452116E-2</v>
      </c>
      <c r="H61" s="306">
        <v>0.2</v>
      </c>
      <c r="I61" s="306">
        <v>1.4000000000000001</v>
      </c>
      <c r="J61" s="306">
        <v>0.4</v>
      </c>
      <c r="K61" s="307">
        <v>2.3023818351960733E-2</v>
      </c>
      <c r="L61" s="306">
        <v>0.1</v>
      </c>
      <c r="M61" s="306">
        <v>0.25</v>
      </c>
      <c r="N61" s="306">
        <v>0.9</v>
      </c>
      <c r="O61" s="306">
        <v>2.2999999999999998</v>
      </c>
      <c r="P61" s="307">
        <v>0.57131901840490795</v>
      </c>
      <c r="Q61" s="306">
        <v>2.8</v>
      </c>
      <c r="R61" s="306">
        <v>2.5499999999999998</v>
      </c>
      <c r="S61" s="306">
        <v>4.0999999999999996</v>
      </c>
      <c r="T61" s="307">
        <v>1</v>
      </c>
      <c r="U61" s="306">
        <v>5</v>
      </c>
      <c r="V61" s="306">
        <v>4.5999999999999996</v>
      </c>
      <c r="W61" s="306" t="s">
        <v>246</v>
      </c>
      <c r="X61" s="307" t="s">
        <v>246</v>
      </c>
      <c r="Y61" s="306" t="s">
        <v>246</v>
      </c>
      <c r="Z61" s="306" t="s">
        <v>246</v>
      </c>
      <c r="AA61" s="306">
        <v>4.5999999999999996</v>
      </c>
      <c r="AB61" s="306">
        <v>3.8</v>
      </c>
    </row>
    <row r="62" spans="1:28" x14ac:dyDescent="0.15">
      <c r="A62" s="306" t="s">
        <v>294</v>
      </c>
      <c r="B62" s="306" t="s">
        <v>219</v>
      </c>
      <c r="C62" s="306" t="s">
        <v>295</v>
      </c>
      <c r="D62" s="306" t="s">
        <v>86</v>
      </c>
      <c r="E62" s="306" t="s">
        <v>87</v>
      </c>
      <c r="F62" s="306">
        <v>4.5999999999999996</v>
      </c>
      <c r="G62" s="307">
        <v>0.95517798784130448</v>
      </c>
      <c r="H62" s="306">
        <v>4.8</v>
      </c>
      <c r="I62" s="306">
        <v>4.6999999999999993</v>
      </c>
      <c r="J62" s="306">
        <v>4.9000000000000004</v>
      </c>
      <c r="K62" s="307">
        <v>0.50507618694492995</v>
      </c>
      <c r="L62" s="306">
        <v>2.5</v>
      </c>
      <c r="M62" s="306">
        <v>3.7</v>
      </c>
      <c r="N62" s="306">
        <v>4.3</v>
      </c>
      <c r="O62" s="306">
        <v>4.9000000000000004</v>
      </c>
      <c r="P62" s="307">
        <v>1</v>
      </c>
      <c r="Q62" s="306">
        <v>5</v>
      </c>
      <c r="R62" s="306">
        <v>4.95</v>
      </c>
      <c r="S62" s="306">
        <v>2.4</v>
      </c>
      <c r="T62" s="307">
        <v>1.5730965531706635E-3</v>
      </c>
      <c r="U62" s="306">
        <v>0.1</v>
      </c>
      <c r="V62" s="306">
        <v>1.3</v>
      </c>
      <c r="W62" s="306">
        <v>3.2</v>
      </c>
      <c r="X62" s="307">
        <v>6.0826400055932324E-6</v>
      </c>
      <c r="Y62" s="306">
        <v>0.3</v>
      </c>
      <c r="Z62" s="306">
        <v>1.8</v>
      </c>
      <c r="AA62" s="306">
        <v>1.6</v>
      </c>
      <c r="AB62" s="306">
        <v>3.8</v>
      </c>
    </row>
    <row r="63" spans="1:28" x14ac:dyDescent="0.15">
      <c r="A63" s="306" t="s">
        <v>296</v>
      </c>
      <c r="B63" s="306" t="s">
        <v>824</v>
      </c>
      <c r="C63" s="306" t="s">
        <v>297</v>
      </c>
      <c r="D63" s="306" t="s">
        <v>112</v>
      </c>
      <c r="E63" s="306" t="s">
        <v>113</v>
      </c>
      <c r="F63" s="306">
        <v>1.7</v>
      </c>
      <c r="G63" s="307">
        <v>1.021505376344086</v>
      </c>
      <c r="H63" s="306">
        <v>5</v>
      </c>
      <c r="I63" s="306">
        <v>3.35</v>
      </c>
      <c r="J63" s="306">
        <v>2.5</v>
      </c>
      <c r="K63" s="307">
        <v>1</v>
      </c>
      <c r="L63" s="306">
        <v>5</v>
      </c>
      <c r="M63" s="306">
        <v>3.75</v>
      </c>
      <c r="N63" s="306">
        <v>3.6</v>
      </c>
      <c r="O63" s="306">
        <v>3.8</v>
      </c>
      <c r="P63" s="307">
        <v>1</v>
      </c>
      <c r="Q63" s="306">
        <v>5</v>
      </c>
      <c r="R63" s="306">
        <v>4.4000000000000004</v>
      </c>
      <c r="S63" s="306">
        <v>4.5</v>
      </c>
      <c r="T63" s="307">
        <v>0.26315789473684209</v>
      </c>
      <c r="U63" s="306">
        <v>5</v>
      </c>
      <c r="V63" s="306">
        <v>4.8</v>
      </c>
      <c r="W63" s="306">
        <v>0</v>
      </c>
      <c r="X63" s="307">
        <v>1.7543859649122808E-7</v>
      </c>
      <c r="Y63" s="306">
        <v>0</v>
      </c>
      <c r="Z63" s="306">
        <v>0</v>
      </c>
      <c r="AA63" s="306">
        <v>3.2</v>
      </c>
      <c r="AB63" s="306">
        <v>3.9</v>
      </c>
    </row>
    <row r="64" spans="1:28" x14ac:dyDescent="0.15">
      <c r="A64" s="306" t="s">
        <v>298</v>
      </c>
      <c r="B64" s="306" t="s">
        <v>850</v>
      </c>
      <c r="C64" s="306" t="s">
        <v>299</v>
      </c>
      <c r="D64" s="306" t="s">
        <v>112</v>
      </c>
      <c r="E64" s="306" t="s">
        <v>113</v>
      </c>
      <c r="F64" s="306">
        <v>1.7</v>
      </c>
      <c r="G64" s="307">
        <v>1.021505376344086</v>
      </c>
      <c r="H64" s="306">
        <v>5</v>
      </c>
      <c r="I64" s="306">
        <v>3.35</v>
      </c>
      <c r="J64" s="306">
        <v>2.5</v>
      </c>
      <c r="K64" s="307">
        <v>1</v>
      </c>
      <c r="L64" s="306">
        <v>5</v>
      </c>
      <c r="M64" s="306">
        <v>3.75</v>
      </c>
      <c r="N64" s="306">
        <v>3.6</v>
      </c>
      <c r="O64" s="306">
        <v>3.8</v>
      </c>
      <c r="P64" s="307">
        <v>1</v>
      </c>
      <c r="Q64" s="306">
        <v>5</v>
      </c>
      <c r="R64" s="306">
        <v>4.4000000000000004</v>
      </c>
      <c r="S64" s="306">
        <v>4.7</v>
      </c>
      <c r="T64" s="307">
        <v>0.33052631578947367</v>
      </c>
      <c r="U64" s="306">
        <v>5</v>
      </c>
      <c r="V64" s="306">
        <v>4.9000000000000004</v>
      </c>
      <c r="W64" s="306">
        <v>3.7</v>
      </c>
      <c r="X64" s="307">
        <v>6.5964912280701754E-5</v>
      </c>
      <c r="Y64" s="306">
        <v>3.3</v>
      </c>
      <c r="Z64" s="306">
        <v>3.5</v>
      </c>
      <c r="AA64" s="306">
        <v>4.3</v>
      </c>
      <c r="AB64" s="306">
        <v>4.4000000000000004</v>
      </c>
    </row>
    <row r="65" spans="1:28" x14ac:dyDescent="0.15">
      <c r="A65" s="306" t="s">
        <v>300</v>
      </c>
      <c r="B65" s="306" t="s">
        <v>828</v>
      </c>
      <c r="C65" s="306" t="s">
        <v>301</v>
      </c>
      <c r="D65" s="306" t="s">
        <v>84</v>
      </c>
      <c r="E65" s="306" t="s">
        <v>85</v>
      </c>
      <c r="F65" s="306">
        <v>5</v>
      </c>
      <c r="G65" s="307">
        <v>1</v>
      </c>
      <c r="H65" s="306">
        <v>5</v>
      </c>
      <c r="I65" s="306">
        <v>5</v>
      </c>
      <c r="J65" s="306">
        <v>2.8</v>
      </c>
      <c r="K65" s="307">
        <v>1</v>
      </c>
      <c r="L65" s="306">
        <v>5</v>
      </c>
      <c r="M65" s="306">
        <v>3.9</v>
      </c>
      <c r="N65" s="306">
        <v>4.5</v>
      </c>
      <c r="O65" s="306">
        <v>3.9</v>
      </c>
      <c r="P65" s="307">
        <v>1</v>
      </c>
      <c r="Q65" s="306">
        <v>5</v>
      </c>
      <c r="R65" s="306">
        <v>4.45</v>
      </c>
      <c r="S65" s="306">
        <v>4.5999999999999996</v>
      </c>
      <c r="T65" s="307">
        <v>0.23687247547605308</v>
      </c>
      <c r="U65" s="306">
        <v>5</v>
      </c>
      <c r="V65" s="306">
        <v>4.8</v>
      </c>
      <c r="W65" s="306">
        <v>5</v>
      </c>
      <c r="X65" s="307">
        <v>7.3817080207732254E-4</v>
      </c>
      <c r="Y65" s="306">
        <v>5</v>
      </c>
      <c r="Z65" s="306">
        <v>5</v>
      </c>
      <c r="AA65" s="306">
        <v>4.9000000000000004</v>
      </c>
      <c r="AB65" s="306">
        <v>4.7</v>
      </c>
    </row>
    <row r="66" spans="1:28" x14ac:dyDescent="0.15">
      <c r="A66" s="306" t="s">
        <v>302</v>
      </c>
      <c r="B66" s="306" t="s">
        <v>824</v>
      </c>
      <c r="C66" s="306" t="s">
        <v>303</v>
      </c>
      <c r="D66" s="306" t="s">
        <v>84</v>
      </c>
      <c r="E66" s="306" t="s">
        <v>85</v>
      </c>
      <c r="F66" s="306">
        <v>5</v>
      </c>
      <c r="G66" s="307">
        <v>1</v>
      </c>
      <c r="H66" s="306">
        <v>5</v>
      </c>
      <c r="I66" s="306">
        <v>5</v>
      </c>
      <c r="J66" s="306">
        <v>2.8</v>
      </c>
      <c r="K66" s="307">
        <v>1</v>
      </c>
      <c r="L66" s="306">
        <v>5</v>
      </c>
      <c r="M66" s="306">
        <v>3.9</v>
      </c>
      <c r="N66" s="306">
        <v>4.5</v>
      </c>
      <c r="O66" s="306">
        <v>2.2999999999999998</v>
      </c>
      <c r="P66" s="307">
        <v>0.11050201961915752</v>
      </c>
      <c r="Q66" s="306">
        <v>0.5</v>
      </c>
      <c r="R66" s="306">
        <v>1.4</v>
      </c>
      <c r="S66" s="306">
        <v>4.0999999999999996</v>
      </c>
      <c r="T66" s="307">
        <v>1</v>
      </c>
      <c r="U66" s="306">
        <v>5</v>
      </c>
      <c r="V66" s="306">
        <v>4.5999999999999996</v>
      </c>
      <c r="W66" s="306">
        <v>4.0999999999999996</v>
      </c>
      <c r="X66" s="307">
        <v>9.6866840731070492E-4</v>
      </c>
      <c r="Y66" s="306">
        <v>5</v>
      </c>
      <c r="Z66" s="306">
        <v>4.5999999999999996</v>
      </c>
      <c r="AA66" s="306">
        <v>4.5999999999999996</v>
      </c>
      <c r="AB66" s="306">
        <v>3.4</v>
      </c>
    </row>
    <row r="67" spans="1:28" x14ac:dyDescent="0.15">
      <c r="A67" s="306" t="s">
        <v>851</v>
      </c>
      <c r="B67" s="306" t="s">
        <v>852</v>
      </c>
      <c r="C67" s="306" t="s">
        <v>853</v>
      </c>
      <c r="D67" s="306" t="s">
        <v>84</v>
      </c>
      <c r="E67" s="306" t="s">
        <v>85</v>
      </c>
      <c r="F67" s="306">
        <v>3.1</v>
      </c>
      <c r="G67" s="307">
        <v>3.8548143264716915E-2</v>
      </c>
      <c r="H67" s="306">
        <v>0.1</v>
      </c>
      <c r="I67" s="306">
        <v>1.6</v>
      </c>
      <c r="J67" s="306">
        <v>1</v>
      </c>
      <c r="K67" s="307">
        <v>0.28995960761684941</v>
      </c>
      <c r="L67" s="306">
        <v>1.4</v>
      </c>
      <c r="M67" s="306">
        <v>1.2</v>
      </c>
      <c r="N67" s="306">
        <v>1.4</v>
      </c>
      <c r="O67" s="306">
        <v>2.4</v>
      </c>
      <c r="P67" s="307">
        <v>0.43980099502487563</v>
      </c>
      <c r="Q67" s="306">
        <v>2.2000000000000002</v>
      </c>
      <c r="R67" s="306">
        <v>2.2999999999999998</v>
      </c>
      <c r="S67" s="306">
        <v>2.4</v>
      </c>
      <c r="T67" s="307">
        <v>5.090497737556561E-2</v>
      </c>
      <c r="U67" s="306">
        <v>1.7</v>
      </c>
      <c r="V67" s="306">
        <v>2.1</v>
      </c>
      <c r="W67" s="306">
        <v>5</v>
      </c>
      <c r="X67" s="307">
        <v>4.9230769230769232E-3</v>
      </c>
      <c r="Y67" s="306">
        <v>5</v>
      </c>
      <c r="Z67" s="306">
        <v>5</v>
      </c>
      <c r="AA67" s="306">
        <v>4</v>
      </c>
      <c r="AB67" s="306">
        <v>3.3</v>
      </c>
    </row>
    <row r="68" spans="1:28" x14ac:dyDescent="0.15">
      <c r="A68" s="306" t="s">
        <v>854</v>
      </c>
      <c r="B68" s="306" t="s">
        <v>855</v>
      </c>
      <c r="C68" s="306" t="s">
        <v>856</v>
      </c>
      <c r="D68" s="306" t="s">
        <v>306</v>
      </c>
      <c r="E68" s="306" t="s">
        <v>307</v>
      </c>
      <c r="F68" s="306">
        <v>3</v>
      </c>
      <c r="G68" s="307">
        <v>1.0136598771419334</v>
      </c>
      <c r="H68" s="306">
        <v>5</v>
      </c>
      <c r="I68" s="306">
        <v>4</v>
      </c>
      <c r="J68" s="306">
        <v>4.5</v>
      </c>
      <c r="K68" s="307">
        <v>1</v>
      </c>
      <c r="L68" s="306">
        <v>5</v>
      </c>
      <c r="M68" s="306">
        <v>4.75</v>
      </c>
      <c r="N68" s="306">
        <v>4.4000000000000004</v>
      </c>
      <c r="O68" s="306">
        <v>3.9</v>
      </c>
      <c r="P68" s="307">
        <v>0.31764759268502973</v>
      </c>
      <c r="Q68" s="306">
        <v>1.6</v>
      </c>
      <c r="R68" s="306">
        <v>2.75</v>
      </c>
      <c r="S68" s="306">
        <v>0</v>
      </c>
      <c r="T68" s="307">
        <v>0</v>
      </c>
      <c r="U68" s="306">
        <v>0</v>
      </c>
      <c r="V68" s="306">
        <v>0</v>
      </c>
      <c r="W68" s="306">
        <v>1</v>
      </c>
      <c r="X68" s="307">
        <v>7.1428571428571431E-7</v>
      </c>
      <c r="Y68" s="306">
        <v>0</v>
      </c>
      <c r="Z68" s="306">
        <v>0.5</v>
      </c>
      <c r="AA68" s="306">
        <v>0.3</v>
      </c>
      <c r="AB68" s="306">
        <v>1.7</v>
      </c>
    </row>
    <row r="69" spans="1:28" x14ac:dyDescent="0.15">
      <c r="A69" s="306" t="s">
        <v>304</v>
      </c>
      <c r="B69" s="306" t="s">
        <v>857</v>
      </c>
      <c r="C69" s="306" t="s">
        <v>305</v>
      </c>
      <c r="D69" s="306" t="s">
        <v>306</v>
      </c>
      <c r="E69" s="306" t="s">
        <v>307</v>
      </c>
      <c r="F69" s="306">
        <v>3</v>
      </c>
      <c r="G69" s="307">
        <v>1.0136598771419334</v>
      </c>
      <c r="H69" s="306">
        <v>5</v>
      </c>
      <c r="I69" s="306">
        <v>4</v>
      </c>
      <c r="J69" s="306">
        <v>4.5</v>
      </c>
      <c r="K69" s="307">
        <v>1</v>
      </c>
      <c r="L69" s="306">
        <v>5</v>
      </c>
      <c r="M69" s="306">
        <v>4.75</v>
      </c>
      <c r="N69" s="306">
        <v>4.4000000000000004</v>
      </c>
      <c r="O69" s="306">
        <v>3.9</v>
      </c>
      <c r="P69" s="307">
        <v>0.31764759268502973</v>
      </c>
      <c r="Q69" s="306">
        <v>1.6</v>
      </c>
      <c r="R69" s="306">
        <v>2.75</v>
      </c>
      <c r="S69" s="306">
        <v>0</v>
      </c>
      <c r="T69" s="307">
        <v>0</v>
      </c>
      <c r="U69" s="306">
        <v>0</v>
      </c>
      <c r="V69" s="306">
        <v>0</v>
      </c>
      <c r="W69" s="306">
        <v>0</v>
      </c>
      <c r="X69" s="307">
        <v>0</v>
      </c>
      <c r="Y69" s="306">
        <v>0</v>
      </c>
      <c r="Z69" s="306">
        <v>0</v>
      </c>
      <c r="AA69" s="306">
        <v>0</v>
      </c>
      <c r="AB69" s="306">
        <v>1.6</v>
      </c>
    </row>
    <row r="70" spans="1:28" x14ac:dyDescent="0.15">
      <c r="A70" s="306" t="s">
        <v>858</v>
      </c>
      <c r="B70" s="306" t="s">
        <v>813</v>
      </c>
      <c r="C70" s="306" t="s">
        <v>859</v>
      </c>
      <c r="D70" s="306" t="s">
        <v>306</v>
      </c>
      <c r="E70" s="306" t="s">
        <v>307</v>
      </c>
      <c r="F70" s="306">
        <v>2</v>
      </c>
      <c r="G70" s="307">
        <v>0.24170708050436471</v>
      </c>
      <c r="H70" s="306">
        <v>1.1000000000000001</v>
      </c>
      <c r="I70" s="306">
        <v>1.55</v>
      </c>
      <c r="J70" s="306">
        <v>2.7</v>
      </c>
      <c r="K70" s="307">
        <v>0.28397694786041655</v>
      </c>
      <c r="L70" s="306">
        <v>1.4</v>
      </c>
      <c r="M70" s="306">
        <v>2.0499999999999998</v>
      </c>
      <c r="N70" s="306">
        <v>1.8</v>
      </c>
      <c r="O70" s="306">
        <v>1.5</v>
      </c>
      <c r="P70" s="307">
        <v>3.9149888143176735E-2</v>
      </c>
      <c r="Q70" s="306">
        <v>0.1</v>
      </c>
      <c r="R70" s="306">
        <v>0.8</v>
      </c>
      <c r="S70" s="306">
        <v>0</v>
      </c>
      <c r="T70" s="307">
        <v>0</v>
      </c>
      <c r="U70" s="306">
        <v>0</v>
      </c>
      <c r="V70" s="306">
        <v>0</v>
      </c>
      <c r="W70" s="306">
        <v>1</v>
      </c>
      <c r="X70" s="307">
        <v>2.0408163265306123E-5</v>
      </c>
      <c r="Y70" s="306">
        <v>1</v>
      </c>
      <c r="Z70" s="306">
        <v>1</v>
      </c>
      <c r="AA70" s="306">
        <v>0.5</v>
      </c>
      <c r="AB70" s="306">
        <v>0.7</v>
      </c>
    </row>
    <row r="71" spans="1:28" x14ac:dyDescent="0.15">
      <c r="A71" s="306" t="s">
        <v>860</v>
      </c>
      <c r="B71" s="306" t="s">
        <v>809</v>
      </c>
      <c r="C71" s="306" t="s">
        <v>861</v>
      </c>
      <c r="D71" s="306" t="s">
        <v>574</v>
      </c>
      <c r="E71" s="306" t="s">
        <v>575</v>
      </c>
      <c r="F71" s="306">
        <v>3</v>
      </c>
      <c r="G71" s="307">
        <v>1</v>
      </c>
      <c r="H71" s="306">
        <v>5</v>
      </c>
      <c r="I71" s="306">
        <v>4</v>
      </c>
      <c r="J71" s="306">
        <v>1.5</v>
      </c>
      <c r="K71" s="307">
        <v>1</v>
      </c>
      <c r="L71" s="306">
        <v>5</v>
      </c>
      <c r="M71" s="306">
        <v>3.25</v>
      </c>
      <c r="N71" s="306">
        <v>3.7</v>
      </c>
      <c r="O71" s="306">
        <v>0.2</v>
      </c>
      <c r="P71" s="307">
        <v>1.427079707622694E-2</v>
      </c>
      <c r="Q71" s="306">
        <v>0</v>
      </c>
      <c r="R71" s="306">
        <v>0.1</v>
      </c>
      <c r="S71" s="306">
        <v>2.2999999999999998</v>
      </c>
      <c r="T71" s="307">
        <v>1</v>
      </c>
      <c r="U71" s="306">
        <v>5</v>
      </c>
      <c r="V71" s="306">
        <v>3.7</v>
      </c>
      <c r="W71" s="306">
        <v>0</v>
      </c>
      <c r="X71" s="307">
        <v>0</v>
      </c>
      <c r="Y71" s="306">
        <v>0</v>
      </c>
      <c r="Z71" s="306">
        <v>0</v>
      </c>
      <c r="AA71" s="306">
        <v>2.2999999999999998</v>
      </c>
      <c r="AB71" s="306">
        <v>1.3</v>
      </c>
    </row>
    <row r="72" spans="1:28" x14ac:dyDescent="0.15">
      <c r="A72" s="306" t="s">
        <v>862</v>
      </c>
      <c r="B72" s="306" t="s">
        <v>809</v>
      </c>
      <c r="C72" s="306" t="s">
        <v>863</v>
      </c>
      <c r="D72" s="306" t="s">
        <v>576</v>
      </c>
      <c r="E72" s="306" t="s">
        <v>577</v>
      </c>
      <c r="F72" s="306">
        <v>3</v>
      </c>
      <c r="G72" s="307">
        <v>1</v>
      </c>
      <c r="H72" s="306">
        <v>5</v>
      </c>
      <c r="I72" s="306">
        <v>4</v>
      </c>
      <c r="J72" s="306">
        <v>0.9</v>
      </c>
      <c r="K72" s="307">
        <v>1</v>
      </c>
      <c r="L72" s="306">
        <v>5</v>
      </c>
      <c r="M72" s="306">
        <v>2.95</v>
      </c>
      <c r="N72" s="306">
        <v>3.5</v>
      </c>
      <c r="O72" s="306">
        <v>0.3</v>
      </c>
      <c r="P72" s="307">
        <v>2.4909185262065387E-2</v>
      </c>
      <c r="Q72" s="306">
        <v>0.1</v>
      </c>
      <c r="R72" s="306">
        <v>0.2</v>
      </c>
      <c r="S72" s="306">
        <v>2.4</v>
      </c>
      <c r="T72" s="307">
        <v>1</v>
      </c>
      <c r="U72" s="306">
        <v>5</v>
      </c>
      <c r="V72" s="306">
        <v>3.7</v>
      </c>
      <c r="W72" s="306">
        <v>0</v>
      </c>
      <c r="X72" s="307">
        <v>0</v>
      </c>
      <c r="Y72" s="306">
        <v>0</v>
      </c>
      <c r="Z72" s="306">
        <v>0</v>
      </c>
      <c r="AA72" s="306">
        <v>2.2999999999999998</v>
      </c>
      <c r="AB72" s="306">
        <v>1.4</v>
      </c>
    </row>
    <row r="73" spans="1:28" x14ac:dyDescent="0.15">
      <c r="A73" s="306" t="s">
        <v>864</v>
      </c>
      <c r="B73" s="306" t="s">
        <v>865</v>
      </c>
      <c r="C73" s="306" t="s">
        <v>866</v>
      </c>
      <c r="D73" s="306" t="s">
        <v>312</v>
      </c>
      <c r="E73" s="306" t="s">
        <v>313</v>
      </c>
      <c r="F73" s="306">
        <v>4.4000000000000004</v>
      </c>
      <c r="G73" s="307">
        <v>1</v>
      </c>
      <c r="H73" s="306">
        <v>5</v>
      </c>
      <c r="I73" s="306">
        <v>4.7</v>
      </c>
      <c r="J73" s="306">
        <v>5</v>
      </c>
      <c r="K73" s="307">
        <v>1</v>
      </c>
      <c r="L73" s="306">
        <v>5</v>
      </c>
      <c r="M73" s="306">
        <v>5</v>
      </c>
      <c r="N73" s="306">
        <v>4.9000000000000004</v>
      </c>
      <c r="O73" s="306">
        <v>3.3</v>
      </c>
      <c r="P73" s="307">
        <v>7.4103271580607019E-2</v>
      </c>
      <c r="Q73" s="306">
        <v>0.3</v>
      </c>
      <c r="R73" s="306">
        <v>1.7999999999999998</v>
      </c>
      <c r="S73" s="306">
        <v>3.9</v>
      </c>
      <c r="T73" s="307">
        <v>0.18439716312056736</v>
      </c>
      <c r="U73" s="306">
        <v>5</v>
      </c>
      <c r="V73" s="306">
        <v>4.5</v>
      </c>
      <c r="W73" s="306">
        <v>5</v>
      </c>
      <c r="X73" s="307">
        <v>1.123404255319149E-3</v>
      </c>
      <c r="Y73" s="306">
        <v>5</v>
      </c>
      <c r="Z73" s="306">
        <v>5</v>
      </c>
      <c r="AA73" s="306">
        <v>4.8</v>
      </c>
      <c r="AB73" s="306">
        <v>3.7</v>
      </c>
    </row>
    <row r="74" spans="1:28" x14ac:dyDescent="0.15">
      <c r="A74" s="306" t="s">
        <v>310</v>
      </c>
      <c r="B74" s="306" t="s">
        <v>824</v>
      </c>
      <c r="C74" s="306" t="s">
        <v>311</v>
      </c>
      <c r="D74" s="306" t="s">
        <v>312</v>
      </c>
      <c r="E74" s="306" t="s">
        <v>313</v>
      </c>
      <c r="F74" s="306">
        <v>4.4000000000000004</v>
      </c>
      <c r="G74" s="307">
        <v>1</v>
      </c>
      <c r="H74" s="306">
        <v>5</v>
      </c>
      <c r="I74" s="306">
        <v>4.7</v>
      </c>
      <c r="J74" s="306">
        <v>5</v>
      </c>
      <c r="K74" s="307">
        <v>1</v>
      </c>
      <c r="L74" s="306">
        <v>5</v>
      </c>
      <c r="M74" s="306">
        <v>5</v>
      </c>
      <c r="N74" s="306">
        <v>4.9000000000000004</v>
      </c>
      <c r="O74" s="306">
        <v>0</v>
      </c>
      <c r="P74" s="307">
        <v>5.2555511759295754E-4</v>
      </c>
      <c r="Q74" s="306">
        <v>0</v>
      </c>
      <c r="R74" s="306">
        <v>0</v>
      </c>
      <c r="S74" s="306">
        <v>1.9</v>
      </c>
      <c r="T74" s="307">
        <v>1</v>
      </c>
      <c r="U74" s="306">
        <v>5</v>
      </c>
      <c r="V74" s="306">
        <v>3.5</v>
      </c>
      <c r="W74" s="306">
        <v>3.2</v>
      </c>
      <c r="X74" s="307">
        <v>9.3500000000000007E-3</v>
      </c>
      <c r="Y74" s="306">
        <v>5</v>
      </c>
      <c r="Z74" s="306">
        <v>4.0999999999999996</v>
      </c>
      <c r="AA74" s="306">
        <v>3.8</v>
      </c>
      <c r="AB74" s="306">
        <v>2.2999999999999998</v>
      </c>
    </row>
    <row r="75" spans="1:28" x14ac:dyDescent="0.15">
      <c r="A75" s="306" t="s">
        <v>867</v>
      </c>
      <c r="B75" s="306" t="s">
        <v>158</v>
      </c>
      <c r="C75" s="306" t="s">
        <v>868</v>
      </c>
      <c r="D75" s="306" t="s">
        <v>312</v>
      </c>
      <c r="E75" s="306" t="s">
        <v>313</v>
      </c>
      <c r="F75" s="306">
        <v>2.9</v>
      </c>
      <c r="G75" s="307">
        <v>0.11946224512659646</v>
      </c>
      <c r="H75" s="306">
        <v>0.5</v>
      </c>
      <c r="I75" s="306">
        <v>1.7</v>
      </c>
      <c r="J75" s="306">
        <v>2.7</v>
      </c>
      <c r="K75" s="307">
        <v>0.17343318880567599</v>
      </c>
      <c r="L75" s="306">
        <v>0.8</v>
      </c>
      <c r="M75" s="306">
        <v>1.75</v>
      </c>
      <c r="N75" s="306">
        <v>1.7</v>
      </c>
      <c r="O75" s="306">
        <v>3.2</v>
      </c>
      <c r="P75" s="307">
        <v>0.42424242424242425</v>
      </c>
      <c r="Q75" s="306">
        <v>2.1</v>
      </c>
      <c r="R75" s="306">
        <v>2.6500000000000004</v>
      </c>
      <c r="S75" s="306">
        <v>3.9</v>
      </c>
      <c r="T75" s="307">
        <v>0.17857142857142858</v>
      </c>
      <c r="U75" s="306">
        <v>5</v>
      </c>
      <c r="V75" s="306">
        <v>4.5</v>
      </c>
      <c r="W75" s="306">
        <v>5</v>
      </c>
      <c r="X75" s="307">
        <v>1.0521428571428572E-3</v>
      </c>
      <c r="Y75" s="306">
        <v>5</v>
      </c>
      <c r="Z75" s="306">
        <v>5</v>
      </c>
      <c r="AA75" s="306">
        <v>4.8</v>
      </c>
      <c r="AB75" s="306">
        <v>4</v>
      </c>
    </row>
    <row r="76" spans="1:28" x14ac:dyDescent="0.15">
      <c r="A76" s="306" t="s">
        <v>869</v>
      </c>
      <c r="B76" s="306" t="s">
        <v>821</v>
      </c>
      <c r="C76" s="306" t="s">
        <v>314</v>
      </c>
      <c r="D76" s="306" t="s">
        <v>315</v>
      </c>
      <c r="E76" s="306" t="s">
        <v>316</v>
      </c>
      <c r="F76" s="306">
        <v>2.5</v>
      </c>
      <c r="G76" s="307">
        <v>1</v>
      </c>
      <c r="H76" s="306">
        <v>5</v>
      </c>
      <c r="I76" s="306">
        <v>3.75</v>
      </c>
      <c r="J76" s="306">
        <v>1.4</v>
      </c>
      <c r="K76" s="307">
        <v>1.0015060240963856</v>
      </c>
      <c r="L76" s="306">
        <v>5</v>
      </c>
      <c r="M76" s="306">
        <v>3.2</v>
      </c>
      <c r="N76" s="306">
        <v>3.5</v>
      </c>
      <c r="O76" s="306">
        <v>0.9</v>
      </c>
      <c r="P76" s="307">
        <v>4.3984962406015037E-2</v>
      </c>
      <c r="Q76" s="306">
        <v>0.2</v>
      </c>
      <c r="R76" s="306">
        <v>0.55000000000000004</v>
      </c>
      <c r="S76" s="306">
        <v>3</v>
      </c>
      <c r="T76" s="307">
        <v>1</v>
      </c>
      <c r="U76" s="306">
        <v>5</v>
      </c>
      <c r="V76" s="306">
        <v>4</v>
      </c>
      <c r="W76" s="306">
        <v>0</v>
      </c>
      <c r="X76" s="307">
        <v>0</v>
      </c>
      <c r="Y76" s="306">
        <v>0</v>
      </c>
      <c r="Z76" s="306">
        <v>0</v>
      </c>
      <c r="AA76" s="306">
        <v>2.5</v>
      </c>
      <c r="AB76" s="306">
        <v>1.6</v>
      </c>
    </row>
    <row r="77" spans="1:28" x14ac:dyDescent="0.15">
      <c r="A77" s="306" t="s">
        <v>317</v>
      </c>
      <c r="B77" s="306" t="s">
        <v>870</v>
      </c>
      <c r="C77" s="306" t="s">
        <v>318</v>
      </c>
      <c r="D77" s="306" t="s">
        <v>81</v>
      </c>
      <c r="E77" s="306" t="s">
        <v>83</v>
      </c>
      <c r="F77" s="306">
        <v>3.9</v>
      </c>
      <c r="G77" s="307">
        <v>0.4006428325885184</v>
      </c>
      <c r="H77" s="306">
        <v>1.9</v>
      </c>
      <c r="I77" s="306">
        <v>2.9</v>
      </c>
      <c r="J77" s="306">
        <v>3.1</v>
      </c>
      <c r="K77" s="307">
        <v>0.27525702980572764</v>
      </c>
      <c r="L77" s="306">
        <v>1.3</v>
      </c>
      <c r="M77" s="306">
        <v>2.2000000000000002</v>
      </c>
      <c r="N77" s="306">
        <v>2.6</v>
      </c>
      <c r="O77" s="306">
        <v>4</v>
      </c>
      <c r="P77" s="307">
        <v>1</v>
      </c>
      <c r="Q77" s="306">
        <v>5</v>
      </c>
      <c r="R77" s="306">
        <v>4.5</v>
      </c>
      <c r="S77" s="306">
        <v>2.5</v>
      </c>
      <c r="T77" s="307">
        <v>6.2448450571462233E-3</v>
      </c>
      <c r="U77" s="306">
        <v>0.2</v>
      </c>
      <c r="V77" s="306">
        <v>1.4</v>
      </c>
      <c r="W77" s="306">
        <v>1.8</v>
      </c>
      <c r="X77" s="307">
        <v>2.0030635088959585E-6</v>
      </c>
      <c r="Y77" s="306">
        <v>0.1</v>
      </c>
      <c r="Z77" s="306">
        <v>1</v>
      </c>
      <c r="AA77" s="306">
        <v>1.2</v>
      </c>
      <c r="AB77" s="306">
        <v>3.3</v>
      </c>
    </row>
    <row r="78" spans="1:28" x14ac:dyDescent="0.15">
      <c r="A78" s="306" t="s">
        <v>319</v>
      </c>
      <c r="B78" s="306" t="s">
        <v>219</v>
      </c>
      <c r="C78" s="306" t="s">
        <v>320</v>
      </c>
      <c r="D78" s="306" t="s">
        <v>81</v>
      </c>
      <c r="E78" s="306" t="s">
        <v>83</v>
      </c>
      <c r="F78" s="306">
        <v>3.6</v>
      </c>
      <c r="G78" s="307">
        <v>0.25739429357167409</v>
      </c>
      <c r="H78" s="306">
        <v>1.2</v>
      </c>
      <c r="I78" s="306">
        <v>2.4</v>
      </c>
      <c r="J78" s="306">
        <v>3</v>
      </c>
      <c r="K78" s="307">
        <v>0.25080271138066357</v>
      </c>
      <c r="L78" s="306">
        <v>1.2</v>
      </c>
      <c r="M78" s="306">
        <v>2.1</v>
      </c>
      <c r="N78" s="306">
        <v>2.2999999999999998</v>
      </c>
      <c r="O78" s="306">
        <v>3.7</v>
      </c>
      <c r="P78" s="307">
        <v>0.6639079270658218</v>
      </c>
      <c r="Q78" s="306">
        <v>3.3</v>
      </c>
      <c r="R78" s="306">
        <v>3.5</v>
      </c>
      <c r="S78" s="306">
        <v>1.3</v>
      </c>
      <c r="T78" s="307">
        <v>1.5582391897156214E-3</v>
      </c>
      <c r="U78" s="306">
        <v>0.1</v>
      </c>
      <c r="V78" s="306">
        <v>0.7</v>
      </c>
      <c r="W78" s="306">
        <v>0</v>
      </c>
      <c r="X78" s="307">
        <v>0</v>
      </c>
      <c r="Y78" s="306">
        <v>0</v>
      </c>
      <c r="Z78" s="306">
        <v>0</v>
      </c>
      <c r="AA78" s="306">
        <v>0.4</v>
      </c>
      <c r="AB78" s="306">
        <v>2.2000000000000002</v>
      </c>
    </row>
    <row r="79" spans="1:28" x14ac:dyDescent="0.15">
      <c r="A79" s="306" t="s">
        <v>871</v>
      </c>
      <c r="B79" s="306" t="s">
        <v>817</v>
      </c>
      <c r="C79" s="306" t="s">
        <v>872</v>
      </c>
      <c r="D79" s="306" t="s">
        <v>81</v>
      </c>
      <c r="E79" s="306" t="s">
        <v>83</v>
      </c>
      <c r="F79" s="306">
        <v>3.9</v>
      </c>
      <c r="G79" s="307">
        <v>0.4006428325885184</v>
      </c>
      <c r="H79" s="306">
        <v>1.9</v>
      </c>
      <c r="I79" s="306">
        <v>2.9</v>
      </c>
      <c r="J79" s="306">
        <v>3.1</v>
      </c>
      <c r="K79" s="307">
        <v>0.27525702980572764</v>
      </c>
      <c r="L79" s="306">
        <v>1.3</v>
      </c>
      <c r="M79" s="306">
        <v>2.2000000000000002</v>
      </c>
      <c r="N79" s="306">
        <v>2.6</v>
      </c>
      <c r="O79" s="306">
        <v>4</v>
      </c>
      <c r="P79" s="307">
        <v>1</v>
      </c>
      <c r="Q79" s="306">
        <v>5</v>
      </c>
      <c r="R79" s="306">
        <v>4.5</v>
      </c>
      <c r="S79" s="306">
        <v>2.4</v>
      </c>
      <c r="T79" s="307">
        <v>5.3022269353128317E-3</v>
      </c>
      <c r="U79" s="306">
        <v>0.2</v>
      </c>
      <c r="V79" s="306">
        <v>1.3</v>
      </c>
      <c r="W79" s="306">
        <v>1.8</v>
      </c>
      <c r="X79" s="307">
        <v>2.0030635088959585E-6</v>
      </c>
      <c r="Y79" s="306">
        <v>0.1</v>
      </c>
      <c r="Z79" s="306">
        <v>1</v>
      </c>
      <c r="AA79" s="306">
        <v>1.2</v>
      </c>
      <c r="AB79" s="306">
        <v>3.3</v>
      </c>
    </row>
    <row r="80" spans="1:28" x14ac:dyDescent="0.15">
      <c r="A80" s="306" t="s">
        <v>321</v>
      </c>
      <c r="B80" s="306" t="s">
        <v>873</v>
      </c>
      <c r="C80" s="306" t="s">
        <v>322</v>
      </c>
      <c r="D80" s="306" t="s">
        <v>323</v>
      </c>
      <c r="E80" s="306" t="s">
        <v>324</v>
      </c>
      <c r="F80" s="306">
        <v>5</v>
      </c>
      <c r="G80" s="307">
        <v>1</v>
      </c>
      <c r="H80" s="306">
        <v>5</v>
      </c>
      <c r="I80" s="306">
        <v>5</v>
      </c>
      <c r="J80" s="306">
        <v>5</v>
      </c>
      <c r="K80" s="307">
        <v>1</v>
      </c>
      <c r="L80" s="306">
        <v>5</v>
      </c>
      <c r="M80" s="306">
        <v>5</v>
      </c>
      <c r="N80" s="306">
        <v>5</v>
      </c>
      <c r="O80" s="306">
        <v>2.1</v>
      </c>
      <c r="P80" s="307">
        <v>4.8155351988957212E-3</v>
      </c>
      <c r="Q80" s="306">
        <v>0</v>
      </c>
      <c r="R80" s="306">
        <v>1.05</v>
      </c>
      <c r="S80" s="306">
        <v>4</v>
      </c>
      <c r="T80" s="307">
        <v>1</v>
      </c>
      <c r="U80" s="306">
        <v>5</v>
      </c>
      <c r="V80" s="306">
        <v>4.5</v>
      </c>
      <c r="W80" s="306">
        <v>5</v>
      </c>
      <c r="X80" s="307">
        <v>5.493485342019544E-3</v>
      </c>
      <c r="Y80" s="306">
        <v>5</v>
      </c>
      <c r="Z80" s="306">
        <v>5</v>
      </c>
      <c r="AA80" s="306">
        <v>4.8</v>
      </c>
      <c r="AB80" s="306">
        <v>3.5</v>
      </c>
    </row>
    <row r="81" spans="1:28" x14ac:dyDescent="0.15">
      <c r="A81" s="306" t="s">
        <v>325</v>
      </c>
      <c r="B81" s="306" t="s">
        <v>873</v>
      </c>
      <c r="C81" s="306" t="s">
        <v>326</v>
      </c>
      <c r="D81" s="306" t="s">
        <v>323</v>
      </c>
      <c r="E81" s="306" t="s">
        <v>324</v>
      </c>
      <c r="F81" s="306">
        <v>5</v>
      </c>
      <c r="G81" s="307">
        <v>1</v>
      </c>
      <c r="H81" s="306">
        <v>5</v>
      </c>
      <c r="I81" s="306">
        <v>5</v>
      </c>
      <c r="J81" s="306">
        <v>5</v>
      </c>
      <c r="K81" s="307">
        <v>1</v>
      </c>
      <c r="L81" s="306">
        <v>5</v>
      </c>
      <c r="M81" s="306">
        <v>5</v>
      </c>
      <c r="N81" s="306">
        <v>5</v>
      </c>
      <c r="O81" s="306">
        <v>1.8</v>
      </c>
      <c r="P81" s="307">
        <v>3.0273560045175054E-3</v>
      </c>
      <c r="Q81" s="306">
        <v>0</v>
      </c>
      <c r="R81" s="306">
        <v>0.9</v>
      </c>
      <c r="S81" s="306">
        <v>3.7</v>
      </c>
      <c r="T81" s="307">
        <v>1</v>
      </c>
      <c r="U81" s="306">
        <v>5</v>
      </c>
      <c r="V81" s="306">
        <v>4.4000000000000004</v>
      </c>
      <c r="W81" s="306">
        <v>5</v>
      </c>
      <c r="X81" s="307">
        <v>7.9766839378238343E-3</v>
      </c>
      <c r="Y81" s="306">
        <v>5</v>
      </c>
      <c r="Z81" s="306">
        <v>5</v>
      </c>
      <c r="AA81" s="306">
        <v>4.7</v>
      </c>
      <c r="AB81" s="306">
        <v>3.4</v>
      </c>
    </row>
    <row r="82" spans="1:28" x14ac:dyDescent="0.15">
      <c r="A82" s="306" t="s">
        <v>327</v>
      </c>
      <c r="B82" s="306" t="s">
        <v>824</v>
      </c>
      <c r="C82" s="306" t="s">
        <v>328</v>
      </c>
      <c r="D82" s="306" t="s">
        <v>323</v>
      </c>
      <c r="E82" s="306" t="s">
        <v>324</v>
      </c>
      <c r="F82" s="306">
        <v>5</v>
      </c>
      <c r="G82" s="307">
        <v>0.5966979603384861</v>
      </c>
      <c r="H82" s="306">
        <v>2.9</v>
      </c>
      <c r="I82" s="306">
        <v>3.95</v>
      </c>
      <c r="J82" s="306">
        <v>5</v>
      </c>
      <c r="K82" s="307">
        <v>0.45429947295771111</v>
      </c>
      <c r="L82" s="306">
        <v>2.2000000000000002</v>
      </c>
      <c r="M82" s="306">
        <v>3.6</v>
      </c>
      <c r="N82" s="306">
        <v>3.8</v>
      </c>
      <c r="O82" s="306">
        <v>1.4</v>
      </c>
      <c r="P82" s="307">
        <v>3.936124298662063E-3</v>
      </c>
      <c r="Q82" s="306">
        <v>0</v>
      </c>
      <c r="R82" s="306">
        <v>0.7</v>
      </c>
      <c r="S82" s="306">
        <v>3.4</v>
      </c>
      <c r="T82" s="307">
        <v>1</v>
      </c>
      <c r="U82" s="306">
        <v>5</v>
      </c>
      <c r="V82" s="306">
        <v>4.2</v>
      </c>
      <c r="W82" s="306">
        <v>2.4</v>
      </c>
      <c r="X82" s="307">
        <v>2.105263157894737E-4</v>
      </c>
      <c r="Y82" s="306">
        <v>5</v>
      </c>
      <c r="Z82" s="306">
        <v>3.7</v>
      </c>
      <c r="AA82" s="306">
        <v>4</v>
      </c>
      <c r="AB82" s="306">
        <v>2.7</v>
      </c>
    </row>
    <row r="83" spans="1:28" x14ac:dyDescent="0.15">
      <c r="A83" s="306" t="s">
        <v>329</v>
      </c>
      <c r="B83" s="306" t="s">
        <v>165</v>
      </c>
      <c r="C83" s="306" t="s">
        <v>330</v>
      </c>
      <c r="D83" s="306" t="s">
        <v>65</v>
      </c>
      <c r="E83" s="306" t="s">
        <v>66</v>
      </c>
      <c r="F83" s="306">
        <v>5</v>
      </c>
      <c r="G83" s="307">
        <v>1.0163908899433696</v>
      </c>
      <c r="H83" s="306">
        <v>5</v>
      </c>
      <c r="I83" s="306">
        <v>5</v>
      </c>
      <c r="J83" s="306">
        <v>4.5</v>
      </c>
      <c r="K83" s="307">
        <v>1</v>
      </c>
      <c r="L83" s="306">
        <v>5</v>
      </c>
      <c r="M83" s="306">
        <v>4.75</v>
      </c>
      <c r="N83" s="306">
        <v>4.9000000000000004</v>
      </c>
      <c r="O83" s="306">
        <v>4.4000000000000004</v>
      </c>
      <c r="P83" s="307">
        <v>0.59447004608294929</v>
      </c>
      <c r="Q83" s="306">
        <v>3</v>
      </c>
      <c r="R83" s="306">
        <v>3.7</v>
      </c>
      <c r="S83" s="306">
        <v>4.5</v>
      </c>
      <c r="T83" s="307">
        <v>0.11031007751937985</v>
      </c>
      <c r="U83" s="306">
        <v>3.7</v>
      </c>
      <c r="V83" s="306">
        <v>4.0999999999999996</v>
      </c>
      <c r="W83" s="306">
        <v>4.9000000000000004</v>
      </c>
      <c r="X83" s="307">
        <v>2.0015503875968991E-4</v>
      </c>
      <c r="Y83" s="306">
        <v>5</v>
      </c>
      <c r="Z83" s="306">
        <v>5</v>
      </c>
      <c r="AA83" s="306">
        <v>4.5999999999999996</v>
      </c>
      <c r="AB83" s="306">
        <v>4.2</v>
      </c>
    </row>
    <row r="84" spans="1:28" x14ac:dyDescent="0.15">
      <c r="A84" s="306" t="s">
        <v>331</v>
      </c>
      <c r="B84" s="306" t="s">
        <v>874</v>
      </c>
      <c r="C84" s="306" t="s">
        <v>332</v>
      </c>
      <c r="D84" s="306" t="s">
        <v>69</v>
      </c>
      <c r="E84" s="306" t="s">
        <v>70</v>
      </c>
      <c r="F84" s="306">
        <v>4.7</v>
      </c>
      <c r="G84" s="307">
        <v>1.0366310692999525</v>
      </c>
      <c r="H84" s="306">
        <v>5</v>
      </c>
      <c r="I84" s="306">
        <v>4.8499999999999996</v>
      </c>
      <c r="J84" s="306">
        <v>5</v>
      </c>
      <c r="K84" s="307">
        <v>1</v>
      </c>
      <c r="L84" s="306">
        <v>5</v>
      </c>
      <c r="M84" s="306">
        <v>5</v>
      </c>
      <c r="N84" s="306">
        <v>4.9000000000000004</v>
      </c>
      <c r="O84" s="306">
        <v>5</v>
      </c>
      <c r="P84" s="307">
        <v>0.98034310221586851</v>
      </c>
      <c r="Q84" s="306">
        <v>4.9000000000000004</v>
      </c>
      <c r="R84" s="306">
        <v>4.95</v>
      </c>
      <c r="S84" s="306">
        <v>5</v>
      </c>
      <c r="T84" s="307">
        <v>7.0944221655122125E-2</v>
      </c>
      <c r="U84" s="306">
        <v>2.4</v>
      </c>
      <c r="V84" s="306">
        <v>3.7</v>
      </c>
      <c r="W84" s="306">
        <v>5</v>
      </c>
      <c r="X84" s="307">
        <v>1.508020415603354E-4</v>
      </c>
      <c r="Y84" s="306">
        <v>5</v>
      </c>
      <c r="Z84" s="306">
        <v>5</v>
      </c>
      <c r="AA84" s="306">
        <v>4.5</v>
      </c>
      <c r="AB84" s="306">
        <v>4.7</v>
      </c>
    </row>
    <row r="85" spans="1:28" x14ac:dyDescent="0.15">
      <c r="A85" s="306" t="s">
        <v>333</v>
      </c>
      <c r="B85" s="306" t="s">
        <v>165</v>
      </c>
      <c r="C85" s="306" t="s">
        <v>334</v>
      </c>
      <c r="D85" s="306" t="s">
        <v>69</v>
      </c>
      <c r="E85" s="306" t="s">
        <v>70</v>
      </c>
      <c r="F85" s="306">
        <v>2.6</v>
      </c>
      <c r="G85" s="307">
        <v>5.6350069713637825E-2</v>
      </c>
      <c r="H85" s="306">
        <v>0.2</v>
      </c>
      <c r="I85" s="306">
        <v>1.4000000000000001</v>
      </c>
      <c r="J85" s="306">
        <v>1.8</v>
      </c>
      <c r="K85" s="307">
        <v>6.2044317369549677E-2</v>
      </c>
      <c r="L85" s="306">
        <v>0.3</v>
      </c>
      <c r="M85" s="306">
        <v>1.05</v>
      </c>
      <c r="N85" s="306">
        <v>1.2</v>
      </c>
      <c r="O85" s="306">
        <v>3.4</v>
      </c>
      <c r="P85" s="307">
        <v>1</v>
      </c>
      <c r="Q85" s="306">
        <v>5</v>
      </c>
      <c r="R85" s="306">
        <v>4.2</v>
      </c>
      <c r="S85" s="306">
        <v>4.4000000000000004</v>
      </c>
      <c r="T85" s="307">
        <v>0.37183179723502302</v>
      </c>
      <c r="U85" s="306">
        <v>5</v>
      </c>
      <c r="V85" s="306">
        <v>4.7</v>
      </c>
      <c r="W85" s="306">
        <v>4</v>
      </c>
      <c r="X85" s="307">
        <v>1.7569124423963135E-4</v>
      </c>
      <c r="Y85" s="306">
        <v>5</v>
      </c>
      <c r="Z85" s="306">
        <v>4.5</v>
      </c>
      <c r="AA85" s="306">
        <v>4.5999999999999996</v>
      </c>
      <c r="AB85" s="306">
        <v>4.4000000000000004</v>
      </c>
    </row>
    <row r="86" spans="1:28" x14ac:dyDescent="0.15">
      <c r="A86" s="306" t="s">
        <v>335</v>
      </c>
      <c r="B86" s="306" t="s">
        <v>165</v>
      </c>
      <c r="C86" s="306" t="s">
        <v>336</v>
      </c>
      <c r="D86" s="306" t="s">
        <v>69</v>
      </c>
      <c r="E86" s="306" t="s">
        <v>70</v>
      </c>
      <c r="F86" s="306">
        <v>3.6</v>
      </c>
      <c r="G86" s="307">
        <v>0.22921231250095761</v>
      </c>
      <c r="H86" s="306">
        <v>1.1000000000000001</v>
      </c>
      <c r="I86" s="306">
        <v>2.35</v>
      </c>
      <c r="J86" s="306">
        <v>2.2999999999999998</v>
      </c>
      <c r="K86" s="307">
        <v>8.7080057183702639E-2</v>
      </c>
      <c r="L86" s="306">
        <v>0.4</v>
      </c>
      <c r="M86" s="306">
        <v>1.3499999999999999</v>
      </c>
      <c r="N86" s="306">
        <v>1.9</v>
      </c>
      <c r="O86" s="306">
        <v>3.6</v>
      </c>
      <c r="P86" s="307">
        <v>1</v>
      </c>
      <c r="Q86" s="306">
        <v>5</v>
      </c>
      <c r="R86" s="306">
        <v>4.3</v>
      </c>
      <c r="S86" s="306">
        <v>2.8</v>
      </c>
      <c r="T86" s="307">
        <v>1.928996511389288E-2</v>
      </c>
      <c r="U86" s="306">
        <v>0.6</v>
      </c>
      <c r="V86" s="306">
        <v>1.7</v>
      </c>
      <c r="W86" s="306">
        <v>4.5</v>
      </c>
      <c r="X86" s="307">
        <v>2.985840344756823E-4</v>
      </c>
      <c r="Y86" s="306">
        <v>5</v>
      </c>
      <c r="Z86" s="306">
        <v>4.8</v>
      </c>
      <c r="AA86" s="306">
        <v>3.7</v>
      </c>
      <c r="AB86" s="306">
        <v>4</v>
      </c>
    </row>
    <row r="87" spans="1:28" x14ac:dyDescent="0.15">
      <c r="A87" s="306" t="s">
        <v>337</v>
      </c>
      <c r="B87" s="306" t="s">
        <v>875</v>
      </c>
      <c r="C87" s="306" t="s">
        <v>338</v>
      </c>
      <c r="D87" s="306" t="s">
        <v>69</v>
      </c>
      <c r="E87" s="306" t="s">
        <v>70</v>
      </c>
      <c r="F87" s="306">
        <v>4.7</v>
      </c>
      <c r="G87" s="307">
        <v>1.0366310692999525</v>
      </c>
      <c r="H87" s="306">
        <v>5</v>
      </c>
      <c r="I87" s="306">
        <v>4.8499999999999996</v>
      </c>
      <c r="J87" s="306">
        <v>5</v>
      </c>
      <c r="K87" s="307">
        <v>1</v>
      </c>
      <c r="L87" s="306">
        <v>5</v>
      </c>
      <c r="M87" s="306">
        <v>5</v>
      </c>
      <c r="N87" s="306">
        <v>4.9000000000000004</v>
      </c>
      <c r="O87" s="306">
        <v>5</v>
      </c>
      <c r="P87" s="307">
        <v>0.83121872766261617</v>
      </c>
      <c r="Q87" s="306">
        <v>4.0999999999999996</v>
      </c>
      <c r="R87" s="306">
        <v>4.55</v>
      </c>
      <c r="S87" s="306">
        <v>4.9000000000000004</v>
      </c>
      <c r="T87" s="307">
        <v>5.3918090938406965E-2</v>
      </c>
      <c r="U87" s="306">
        <v>1.8</v>
      </c>
      <c r="V87" s="306">
        <v>3.4</v>
      </c>
      <c r="W87" s="306">
        <v>5</v>
      </c>
      <c r="X87" s="307">
        <v>1.3346232398151134E-4</v>
      </c>
      <c r="Y87" s="306">
        <v>5</v>
      </c>
      <c r="Z87" s="306">
        <v>5</v>
      </c>
      <c r="AA87" s="306">
        <v>4.4000000000000004</v>
      </c>
      <c r="AB87" s="306">
        <v>4.5</v>
      </c>
    </row>
    <row r="88" spans="1:28" x14ac:dyDescent="0.15">
      <c r="A88" s="306" t="s">
        <v>985</v>
      </c>
      <c r="B88" s="306" t="s">
        <v>887</v>
      </c>
      <c r="C88" s="306" t="s">
        <v>986</v>
      </c>
      <c r="D88" s="306" t="s">
        <v>667</v>
      </c>
      <c r="E88" s="306" t="s">
        <v>668</v>
      </c>
      <c r="F88" s="306">
        <v>5</v>
      </c>
      <c r="G88" s="307">
        <v>0.80898512815672741</v>
      </c>
      <c r="H88" s="306">
        <v>4</v>
      </c>
      <c r="I88" s="306">
        <v>4.5</v>
      </c>
      <c r="J88" s="306">
        <v>0</v>
      </c>
      <c r="K88" s="307">
        <v>0.27932436659368159</v>
      </c>
      <c r="L88" s="306">
        <v>1.4</v>
      </c>
      <c r="M88" s="306">
        <v>0.7</v>
      </c>
      <c r="N88" s="306">
        <v>3.1</v>
      </c>
      <c r="O88" s="306">
        <v>2.1</v>
      </c>
      <c r="P88" s="307">
        <v>0.61030235162374025</v>
      </c>
      <c r="Q88" s="306">
        <v>3</v>
      </c>
      <c r="R88" s="306">
        <v>2.5499999999999998</v>
      </c>
      <c r="S88" s="306">
        <v>0</v>
      </c>
      <c r="T88" s="307">
        <v>0</v>
      </c>
      <c r="U88" s="306">
        <v>0</v>
      </c>
      <c r="V88" s="306">
        <v>0</v>
      </c>
      <c r="W88" s="306">
        <v>0</v>
      </c>
      <c r="X88" s="307">
        <v>0</v>
      </c>
      <c r="Y88" s="306">
        <v>0</v>
      </c>
      <c r="Z88" s="306">
        <v>0</v>
      </c>
      <c r="AA88" s="306">
        <v>0</v>
      </c>
      <c r="AB88" s="306">
        <v>1.4</v>
      </c>
    </row>
    <row r="89" spans="1:28" x14ac:dyDescent="0.15">
      <c r="A89" s="306" t="s">
        <v>339</v>
      </c>
      <c r="B89" s="306" t="s">
        <v>876</v>
      </c>
      <c r="C89" s="306" t="s">
        <v>340</v>
      </c>
      <c r="D89" s="306" t="s">
        <v>100</v>
      </c>
      <c r="E89" s="306" t="s">
        <v>101</v>
      </c>
      <c r="F89" s="306">
        <v>4.8</v>
      </c>
      <c r="G89" s="307">
        <v>1</v>
      </c>
      <c r="H89" s="306">
        <v>5</v>
      </c>
      <c r="I89" s="306">
        <v>4.9000000000000004</v>
      </c>
      <c r="J89" s="306">
        <v>5</v>
      </c>
      <c r="K89" s="307">
        <v>1</v>
      </c>
      <c r="L89" s="306">
        <v>5</v>
      </c>
      <c r="M89" s="306">
        <v>5</v>
      </c>
      <c r="N89" s="306">
        <v>5</v>
      </c>
      <c r="O89" s="306">
        <v>4.3</v>
      </c>
      <c r="P89" s="307">
        <v>0.37047530935584594</v>
      </c>
      <c r="Q89" s="306">
        <v>1.8</v>
      </c>
      <c r="R89" s="306">
        <v>3.05</v>
      </c>
      <c r="S89" s="306">
        <v>4.0999999999999996</v>
      </c>
      <c r="T89" s="307">
        <v>5.5330107694708912E-2</v>
      </c>
      <c r="U89" s="306">
        <v>1.8</v>
      </c>
      <c r="V89" s="306">
        <v>3</v>
      </c>
      <c r="W89" s="306">
        <v>3.7</v>
      </c>
      <c r="X89" s="307">
        <v>3.0903699079132201E-5</v>
      </c>
      <c r="Y89" s="306">
        <v>1.5</v>
      </c>
      <c r="Z89" s="306">
        <v>2.6</v>
      </c>
      <c r="AA89" s="306">
        <v>2.8</v>
      </c>
      <c r="AB89" s="306">
        <v>2.9</v>
      </c>
    </row>
    <row r="90" spans="1:28" x14ac:dyDescent="0.15">
      <c r="A90" s="306" t="s">
        <v>341</v>
      </c>
      <c r="B90" s="306" t="s">
        <v>809</v>
      </c>
      <c r="C90" s="306" t="s">
        <v>342</v>
      </c>
      <c r="D90" s="306" t="s">
        <v>100</v>
      </c>
      <c r="E90" s="306" t="s">
        <v>101</v>
      </c>
      <c r="F90" s="306">
        <v>4.0999999999999996</v>
      </c>
      <c r="G90" s="307">
        <v>0.35684401943080951</v>
      </c>
      <c r="H90" s="306">
        <v>1.7</v>
      </c>
      <c r="I90" s="306">
        <v>2.9</v>
      </c>
      <c r="J90" s="306">
        <v>3.5</v>
      </c>
      <c r="K90" s="307">
        <v>0.3349138429513126</v>
      </c>
      <c r="L90" s="306">
        <v>1.6</v>
      </c>
      <c r="M90" s="306">
        <v>2.5499999999999998</v>
      </c>
      <c r="N90" s="306">
        <v>2.7</v>
      </c>
      <c r="O90" s="306">
        <v>4.3</v>
      </c>
      <c r="P90" s="307">
        <v>1</v>
      </c>
      <c r="Q90" s="306">
        <v>5</v>
      </c>
      <c r="R90" s="306">
        <v>4.6500000000000004</v>
      </c>
      <c r="S90" s="306">
        <v>4</v>
      </c>
      <c r="T90" s="307">
        <v>5.0328038674033147E-2</v>
      </c>
      <c r="U90" s="306">
        <v>1.7</v>
      </c>
      <c r="V90" s="306">
        <v>2.9</v>
      </c>
      <c r="W90" s="306">
        <v>3.3</v>
      </c>
      <c r="X90" s="307">
        <v>1.8387430939226519E-5</v>
      </c>
      <c r="Y90" s="306">
        <v>0.9</v>
      </c>
      <c r="Z90" s="306">
        <v>2.1</v>
      </c>
      <c r="AA90" s="306">
        <v>2.5</v>
      </c>
      <c r="AB90" s="306">
        <v>3.8</v>
      </c>
    </row>
    <row r="91" spans="1:28" x14ac:dyDescent="0.15">
      <c r="A91" s="306" t="s">
        <v>877</v>
      </c>
      <c r="B91" s="306" t="s">
        <v>817</v>
      </c>
      <c r="C91" s="306" t="s">
        <v>878</v>
      </c>
      <c r="D91" s="306" t="s">
        <v>100</v>
      </c>
      <c r="E91" s="306" t="s">
        <v>101</v>
      </c>
      <c r="F91" s="306">
        <v>4.5999999999999996</v>
      </c>
      <c r="G91" s="307">
        <v>0.76153513568503772</v>
      </c>
      <c r="H91" s="306">
        <v>3.8</v>
      </c>
      <c r="I91" s="306">
        <v>4.1999999999999993</v>
      </c>
      <c r="J91" s="306">
        <v>4.2</v>
      </c>
      <c r="K91" s="307">
        <v>0.52113449751358853</v>
      </c>
      <c r="L91" s="306">
        <v>2.6</v>
      </c>
      <c r="M91" s="306">
        <v>3.4000000000000004</v>
      </c>
      <c r="N91" s="306">
        <v>3.8</v>
      </c>
      <c r="O91" s="306">
        <v>2.7</v>
      </c>
      <c r="P91" s="307">
        <v>6.8294036061026353E-2</v>
      </c>
      <c r="Q91" s="306">
        <v>0.3</v>
      </c>
      <c r="R91" s="306">
        <v>1.5</v>
      </c>
      <c r="S91" s="306">
        <v>3</v>
      </c>
      <c r="T91" s="307">
        <v>0.10235580828594638</v>
      </c>
      <c r="U91" s="306">
        <v>3.4</v>
      </c>
      <c r="V91" s="306">
        <v>3.2</v>
      </c>
      <c r="W91" s="306">
        <v>3.2</v>
      </c>
      <c r="X91" s="307">
        <v>1.48659626320065E-4</v>
      </c>
      <c r="Y91" s="306">
        <v>5</v>
      </c>
      <c r="Z91" s="306">
        <v>4.0999999999999996</v>
      </c>
      <c r="AA91" s="306">
        <v>3.7</v>
      </c>
      <c r="AB91" s="306">
        <v>2.8</v>
      </c>
    </row>
    <row r="92" spans="1:28" x14ac:dyDescent="0.15">
      <c r="A92" s="306" t="s">
        <v>343</v>
      </c>
      <c r="B92" s="306" t="s">
        <v>824</v>
      </c>
      <c r="C92" s="306" t="s">
        <v>344</v>
      </c>
      <c r="D92" s="306" t="s">
        <v>345</v>
      </c>
      <c r="E92" s="306" t="s">
        <v>346</v>
      </c>
      <c r="F92" s="306">
        <v>3.9</v>
      </c>
      <c r="G92" s="307">
        <v>0.19986416998156592</v>
      </c>
      <c r="H92" s="306">
        <v>0.9</v>
      </c>
      <c r="I92" s="306">
        <v>2.4</v>
      </c>
      <c r="J92" s="306">
        <v>2.4</v>
      </c>
      <c r="K92" s="307">
        <v>1.0417257443791776</v>
      </c>
      <c r="L92" s="306">
        <v>5</v>
      </c>
      <c r="M92" s="306">
        <v>3.7</v>
      </c>
      <c r="N92" s="306">
        <v>3.1</v>
      </c>
      <c r="O92" s="306">
        <v>0.9</v>
      </c>
      <c r="P92" s="307">
        <v>2.0804977639510013E-2</v>
      </c>
      <c r="Q92" s="306">
        <v>0.1</v>
      </c>
      <c r="R92" s="306">
        <v>0.5</v>
      </c>
      <c r="S92" s="306">
        <v>2.9</v>
      </c>
      <c r="T92" s="307">
        <v>1</v>
      </c>
      <c r="U92" s="306">
        <v>5</v>
      </c>
      <c r="V92" s="306">
        <v>4</v>
      </c>
      <c r="W92" s="306">
        <v>0</v>
      </c>
      <c r="X92" s="307">
        <v>0</v>
      </c>
      <c r="Y92" s="306">
        <v>0</v>
      </c>
      <c r="Z92" s="306">
        <v>0</v>
      </c>
      <c r="AA92" s="306">
        <v>2.5</v>
      </c>
      <c r="AB92" s="306">
        <v>1.6</v>
      </c>
    </row>
    <row r="93" spans="1:28" x14ac:dyDescent="0.15">
      <c r="A93" s="306" t="s">
        <v>347</v>
      </c>
      <c r="B93" s="306" t="s">
        <v>879</v>
      </c>
      <c r="C93" s="306" t="s">
        <v>348</v>
      </c>
      <c r="D93" s="306" t="s">
        <v>345</v>
      </c>
      <c r="E93" s="306" t="s">
        <v>346</v>
      </c>
      <c r="F93" s="306">
        <v>5</v>
      </c>
      <c r="G93" s="307">
        <v>1</v>
      </c>
      <c r="H93" s="306">
        <v>5</v>
      </c>
      <c r="I93" s="306">
        <v>5</v>
      </c>
      <c r="J93" s="306">
        <v>1.8</v>
      </c>
      <c r="K93" s="307">
        <v>0.71764229289041925</v>
      </c>
      <c r="L93" s="306">
        <v>3.6</v>
      </c>
      <c r="M93" s="306">
        <v>2.7</v>
      </c>
      <c r="N93" s="306">
        <v>4.0999999999999996</v>
      </c>
      <c r="O93" s="306">
        <v>2.7</v>
      </c>
      <c r="P93" s="307">
        <v>0.36550945526390066</v>
      </c>
      <c r="Q93" s="306">
        <v>1.8</v>
      </c>
      <c r="R93" s="306">
        <v>2.25</v>
      </c>
      <c r="S93" s="306" t="s">
        <v>246</v>
      </c>
      <c r="T93" s="307" t="s">
        <v>246</v>
      </c>
      <c r="U93" s="306" t="s">
        <v>246</v>
      </c>
      <c r="V93" s="306" t="s">
        <v>246</v>
      </c>
      <c r="W93" s="306">
        <v>0</v>
      </c>
      <c r="X93" s="307">
        <v>0</v>
      </c>
      <c r="Y93" s="306">
        <v>0</v>
      </c>
      <c r="Z93" s="306">
        <v>0</v>
      </c>
      <c r="AA93" s="306">
        <v>0</v>
      </c>
      <c r="AB93" s="306">
        <v>1.3</v>
      </c>
    </row>
    <row r="94" spans="1:28" x14ac:dyDescent="0.15">
      <c r="A94" s="306" t="s">
        <v>349</v>
      </c>
      <c r="B94" s="306" t="s">
        <v>880</v>
      </c>
      <c r="C94" s="306" t="s">
        <v>350</v>
      </c>
      <c r="D94" s="306" t="s">
        <v>106</v>
      </c>
      <c r="E94" s="306" t="s">
        <v>107</v>
      </c>
      <c r="F94" s="306">
        <v>3.3</v>
      </c>
      <c r="G94" s="307">
        <v>0.9978786593126856</v>
      </c>
      <c r="H94" s="306">
        <v>5</v>
      </c>
      <c r="I94" s="306">
        <v>4.1500000000000004</v>
      </c>
      <c r="J94" s="306">
        <v>4.3</v>
      </c>
      <c r="K94" s="307">
        <v>0.92537593984962407</v>
      </c>
      <c r="L94" s="306">
        <v>4.5999999999999996</v>
      </c>
      <c r="M94" s="306">
        <v>4.4499999999999993</v>
      </c>
      <c r="N94" s="306">
        <v>4.3</v>
      </c>
      <c r="O94" s="306">
        <v>4.2</v>
      </c>
      <c r="P94" s="307">
        <v>0.53671541742839735</v>
      </c>
      <c r="Q94" s="306">
        <v>2.7</v>
      </c>
      <c r="R94" s="306">
        <v>3.45</v>
      </c>
      <c r="S94" s="306">
        <v>2.9</v>
      </c>
      <c r="T94" s="307">
        <v>9.745482070205317E-3</v>
      </c>
      <c r="U94" s="306">
        <v>0.3</v>
      </c>
      <c r="V94" s="306">
        <v>1.6</v>
      </c>
      <c r="W94" s="306">
        <v>4.5999999999999996</v>
      </c>
      <c r="X94" s="307">
        <v>1.7012016274008893E-4</v>
      </c>
      <c r="Y94" s="306">
        <v>5</v>
      </c>
      <c r="Z94" s="306">
        <v>4.8</v>
      </c>
      <c r="AA94" s="306">
        <v>3.7</v>
      </c>
      <c r="AB94" s="306">
        <v>3.6</v>
      </c>
    </row>
    <row r="95" spans="1:28" x14ac:dyDescent="0.15">
      <c r="A95" s="306" t="s">
        <v>881</v>
      </c>
      <c r="B95" s="306" t="s">
        <v>817</v>
      </c>
      <c r="C95" s="306" t="s">
        <v>882</v>
      </c>
      <c r="D95" s="306" t="s">
        <v>106</v>
      </c>
      <c r="E95" s="306" t="s">
        <v>107</v>
      </c>
      <c r="F95" s="306">
        <v>2.5</v>
      </c>
      <c r="G95" s="307">
        <v>0.33708103521425542</v>
      </c>
      <c r="H95" s="306">
        <v>1.6</v>
      </c>
      <c r="I95" s="306">
        <v>2.0499999999999998</v>
      </c>
      <c r="J95" s="306">
        <v>3</v>
      </c>
      <c r="K95" s="307">
        <v>0.36423872180451128</v>
      </c>
      <c r="L95" s="306">
        <v>1.8</v>
      </c>
      <c r="M95" s="306">
        <v>2.4</v>
      </c>
      <c r="N95" s="306">
        <v>2.2000000000000002</v>
      </c>
      <c r="O95" s="306">
        <v>3.1</v>
      </c>
      <c r="P95" s="307">
        <v>0.29673590504451036</v>
      </c>
      <c r="Q95" s="306">
        <v>1.4</v>
      </c>
      <c r="R95" s="306">
        <v>2.25</v>
      </c>
      <c r="S95" s="306">
        <v>4</v>
      </c>
      <c r="T95" s="307">
        <v>0.28652173913043477</v>
      </c>
      <c r="U95" s="306">
        <v>5</v>
      </c>
      <c r="V95" s="306">
        <v>4.5</v>
      </c>
      <c r="W95" s="306">
        <v>4.4000000000000004</v>
      </c>
      <c r="X95" s="307">
        <v>5.2173913043478256E-4</v>
      </c>
      <c r="Y95" s="306">
        <v>5</v>
      </c>
      <c r="Z95" s="306">
        <v>4.7</v>
      </c>
      <c r="AA95" s="306">
        <v>4.5999999999999996</v>
      </c>
      <c r="AB95" s="306">
        <v>3.7</v>
      </c>
    </row>
    <row r="96" spans="1:28" x14ac:dyDescent="0.15">
      <c r="A96" s="306" t="s">
        <v>351</v>
      </c>
      <c r="B96" s="306" t="s">
        <v>824</v>
      </c>
      <c r="C96" s="306" t="s">
        <v>352</v>
      </c>
      <c r="D96" s="306" t="s">
        <v>353</v>
      </c>
      <c r="E96" s="306" t="s">
        <v>354</v>
      </c>
      <c r="F96" s="306">
        <v>1.6</v>
      </c>
      <c r="G96" s="307">
        <v>2.8020088266626084E-2</v>
      </c>
      <c r="H96" s="306">
        <v>0</v>
      </c>
      <c r="I96" s="306">
        <v>0.8</v>
      </c>
      <c r="J96" s="306">
        <v>3.3</v>
      </c>
      <c r="K96" s="307">
        <v>0.30861931852939378</v>
      </c>
      <c r="L96" s="306">
        <v>1.5</v>
      </c>
      <c r="M96" s="306">
        <v>2.4</v>
      </c>
      <c r="N96" s="306">
        <v>1.7</v>
      </c>
      <c r="O96" s="306">
        <v>4.2</v>
      </c>
      <c r="P96" s="307">
        <v>1</v>
      </c>
      <c r="Q96" s="306">
        <v>5</v>
      </c>
      <c r="R96" s="306">
        <v>4.5999999999999996</v>
      </c>
      <c r="S96" s="306">
        <v>3.2</v>
      </c>
      <c r="T96" s="307">
        <v>1.8533201189296335E-2</v>
      </c>
      <c r="U96" s="306">
        <v>0.6</v>
      </c>
      <c r="V96" s="306">
        <v>1.9</v>
      </c>
      <c r="W96" s="306">
        <v>0</v>
      </c>
      <c r="X96" s="307">
        <v>0</v>
      </c>
      <c r="Y96" s="306">
        <v>0</v>
      </c>
      <c r="Z96" s="306">
        <v>0</v>
      </c>
      <c r="AA96" s="306">
        <v>1</v>
      </c>
      <c r="AB96" s="306">
        <v>3.3</v>
      </c>
    </row>
    <row r="97" spans="1:28" x14ac:dyDescent="0.15">
      <c r="A97" s="306" t="s">
        <v>355</v>
      </c>
      <c r="B97" s="306" t="s">
        <v>219</v>
      </c>
      <c r="C97" s="306" t="s">
        <v>356</v>
      </c>
      <c r="D97" s="306" t="s">
        <v>357</v>
      </c>
      <c r="E97" s="306" t="s">
        <v>358</v>
      </c>
      <c r="F97" s="306">
        <v>4.9000000000000004</v>
      </c>
      <c r="G97" s="307">
        <v>1</v>
      </c>
      <c r="H97" s="306">
        <v>5</v>
      </c>
      <c r="I97" s="306">
        <v>4.95</v>
      </c>
      <c r="J97" s="306">
        <v>1.4</v>
      </c>
      <c r="K97" s="307">
        <v>1</v>
      </c>
      <c r="L97" s="306">
        <v>5</v>
      </c>
      <c r="M97" s="306">
        <v>3.2</v>
      </c>
      <c r="N97" s="306">
        <v>4.3</v>
      </c>
      <c r="O97" s="306">
        <v>2.9</v>
      </c>
      <c r="P97" s="307">
        <v>0.61998485995457986</v>
      </c>
      <c r="Q97" s="306">
        <v>3.1</v>
      </c>
      <c r="R97" s="306">
        <v>3</v>
      </c>
      <c r="S97" s="306">
        <v>0</v>
      </c>
      <c r="T97" s="307">
        <v>0</v>
      </c>
      <c r="U97" s="306">
        <v>0</v>
      </c>
      <c r="V97" s="306">
        <v>0</v>
      </c>
      <c r="W97" s="306">
        <v>0</v>
      </c>
      <c r="X97" s="307">
        <v>0</v>
      </c>
      <c r="Y97" s="306">
        <v>0</v>
      </c>
      <c r="Z97" s="306">
        <v>0</v>
      </c>
      <c r="AA97" s="306">
        <v>0</v>
      </c>
      <c r="AB97" s="306">
        <v>1.7</v>
      </c>
    </row>
    <row r="98" spans="1:28" x14ac:dyDescent="0.15">
      <c r="A98" s="306" t="s">
        <v>359</v>
      </c>
      <c r="B98" s="306" t="s">
        <v>809</v>
      </c>
      <c r="C98" s="306" t="s">
        <v>360</v>
      </c>
      <c r="D98" s="306" t="s">
        <v>90</v>
      </c>
      <c r="E98" s="306" t="s">
        <v>91</v>
      </c>
      <c r="F98" s="306">
        <v>4.4000000000000004</v>
      </c>
      <c r="G98" s="307">
        <v>0.32314202257835323</v>
      </c>
      <c r="H98" s="306">
        <v>1.5</v>
      </c>
      <c r="I98" s="306">
        <v>2.95</v>
      </c>
      <c r="J98" s="306">
        <v>3.7</v>
      </c>
      <c r="K98" s="307">
        <v>1</v>
      </c>
      <c r="L98" s="306">
        <v>5</v>
      </c>
      <c r="M98" s="306">
        <v>4.3499999999999996</v>
      </c>
      <c r="N98" s="306">
        <v>3.7</v>
      </c>
      <c r="O98" s="306">
        <v>3.3</v>
      </c>
      <c r="P98" s="307">
        <v>0.25047846889952152</v>
      </c>
      <c r="Q98" s="306">
        <v>1.2</v>
      </c>
      <c r="R98" s="306">
        <v>2.25</v>
      </c>
      <c r="S98" s="306">
        <v>4</v>
      </c>
      <c r="T98" s="307">
        <v>0.21458134352117161</v>
      </c>
      <c r="U98" s="306">
        <v>5</v>
      </c>
      <c r="V98" s="306">
        <v>4.5</v>
      </c>
      <c r="W98" s="306">
        <v>4.2</v>
      </c>
      <c r="X98" s="307">
        <v>2.8271251193887298E-4</v>
      </c>
      <c r="Y98" s="306">
        <v>5</v>
      </c>
      <c r="Z98" s="306">
        <v>4.5999999999999996</v>
      </c>
      <c r="AA98" s="306">
        <v>4.5999999999999996</v>
      </c>
      <c r="AB98" s="306">
        <v>3.7</v>
      </c>
    </row>
    <row r="99" spans="1:28" x14ac:dyDescent="0.15">
      <c r="A99" s="306" t="s">
        <v>883</v>
      </c>
      <c r="B99" s="306" t="s">
        <v>165</v>
      </c>
      <c r="C99" s="306" t="s">
        <v>361</v>
      </c>
      <c r="D99" s="306" t="s">
        <v>90</v>
      </c>
      <c r="E99" s="306" t="s">
        <v>91</v>
      </c>
      <c r="F99" s="306">
        <v>3.7</v>
      </c>
      <c r="G99" s="307">
        <v>0.12386989816057473</v>
      </c>
      <c r="H99" s="306">
        <v>0.5</v>
      </c>
      <c r="I99" s="306">
        <v>2.1</v>
      </c>
      <c r="J99" s="306">
        <v>0</v>
      </c>
      <c r="K99" s="307">
        <v>6.2838915470494416E-2</v>
      </c>
      <c r="L99" s="306">
        <v>0.3</v>
      </c>
      <c r="M99" s="306">
        <v>0.15</v>
      </c>
      <c r="N99" s="306">
        <v>1.2</v>
      </c>
      <c r="O99" s="306">
        <v>1.7</v>
      </c>
      <c r="P99" s="307">
        <v>0.39974619289340102</v>
      </c>
      <c r="Q99" s="306">
        <v>2</v>
      </c>
      <c r="R99" s="306">
        <v>1.85</v>
      </c>
      <c r="S99" s="306">
        <v>3.4</v>
      </c>
      <c r="T99" s="307">
        <v>0.81904761904761902</v>
      </c>
      <c r="U99" s="306">
        <v>5</v>
      </c>
      <c r="V99" s="306">
        <v>4.2</v>
      </c>
      <c r="W99" s="306">
        <v>2.8</v>
      </c>
      <c r="X99" s="307">
        <v>3.015873015873016E-4</v>
      </c>
      <c r="Y99" s="306">
        <v>5</v>
      </c>
      <c r="Z99" s="306">
        <v>3.9</v>
      </c>
      <c r="AA99" s="306">
        <v>4.0999999999999996</v>
      </c>
      <c r="AB99" s="306">
        <v>3.2</v>
      </c>
    </row>
    <row r="100" spans="1:28" x14ac:dyDescent="0.15">
      <c r="A100" s="306" t="s">
        <v>362</v>
      </c>
      <c r="B100" s="306" t="s">
        <v>165</v>
      </c>
      <c r="C100" s="306" t="s">
        <v>363</v>
      </c>
      <c r="D100" s="306" t="s">
        <v>90</v>
      </c>
      <c r="E100" s="306" t="s">
        <v>91</v>
      </c>
      <c r="F100" s="306">
        <v>3.9</v>
      </c>
      <c r="G100" s="307">
        <v>0.16627615062761505</v>
      </c>
      <c r="H100" s="306">
        <v>0.7</v>
      </c>
      <c r="I100" s="306">
        <v>2.2999999999999998</v>
      </c>
      <c r="J100" s="306">
        <v>2.9</v>
      </c>
      <c r="K100" s="307">
        <v>0.60207336523125998</v>
      </c>
      <c r="L100" s="306">
        <v>3</v>
      </c>
      <c r="M100" s="306">
        <v>2.95</v>
      </c>
      <c r="N100" s="306">
        <v>2.6</v>
      </c>
      <c r="O100" s="306">
        <v>2.9</v>
      </c>
      <c r="P100" s="307">
        <v>0.23165562913907284</v>
      </c>
      <c r="Q100" s="306">
        <v>1.1000000000000001</v>
      </c>
      <c r="R100" s="306">
        <v>2</v>
      </c>
      <c r="S100" s="306">
        <v>3.6</v>
      </c>
      <c r="T100" s="307">
        <v>0.19268153230417381</v>
      </c>
      <c r="U100" s="306">
        <v>5</v>
      </c>
      <c r="V100" s="306">
        <v>4.3</v>
      </c>
      <c r="W100" s="306">
        <v>4.0999999999999996</v>
      </c>
      <c r="X100" s="307">
        <v>4.4082332761578044E-4</v>
      </c>
      <c r="Y100" s="306">
        <v>5</v>
      </c>
      <c r="Z100" s="306">
        <v>4.5999999999999996</v>
      </c>
      <c r="AA100" s="306">
        <v>4.5</v>
      </c>
      <c r="AB100" s="306">
        <v>3.5</v>
      </c>
    </row>
    <row r="101" spans="1:28" x14ac:dyDescent="0.15">
      <c r="A101" s="306" t="s">
        <v>364</v>
      </c>
      <c r="B101" s="306" t="s">
        <v>824</v>
      </c>
      <c r="C101" s="306" t="s">
        <v>365</v>
      </c>
      <c r="D101" s="306" t="s">
        <v>90</v>
      </c>
      <c r="E101" s="306" t="s">
        <v>91</v>
      </c>
      <c r="F101" s="306">
        <v>2.7</v>
      </c>
      <c r="G101" s="307">
        <v>3.2995973790163419E-2</v>
      </c>
      <c r="H101" s="306">
        <v>0.1</v>
      </c>
      <c r="I101" s="306">
        <v>1.4000000000000001</v>
      </c>
      <c r="J101" s="306">
        <v>2.1</v>
      </c>
      <c r="K101" s="307">
        <v>0.3350877192982456</v>
      </c>
      <c r="L101" s="306">
        <v>1.6</v>
      </c>
      <c r="M101" s="306">
        <v>1.85</v>
      </c>
      <c r="N101" s="306">
        <v>1.6</v>
      </c>
      <c r="O101" s="306">
        <v>2.4</v>
      </c>
      <c r="P101" s="307">
        <v>0.19585911470728223</v>
      </c>
      <c r="Q101" s="306">
        <v>0.9</v>
      </c>
      <c r="R101" s="306">
        <v>1.65</v>
      </c>
      <c r="S101" s="306">
        <v>2.7</v>
      </c>
      <c r="T101" s="307">
        <v>9.5990279465370601E-2</v>
      </c>
      <c r="U101" s="306">
        <v>3.2</v>
      </c>
      <c r="V101" s="306">
        <v>3</v>
      </c>
      <c r="W101" s="306">
        <v>1.9</v>
      </c>
      <c r="X101" s="307">
        <v>2.6731470230862697E-5</v>
      </c>
      <c r="Y101" s="306">
        <v>1.3</v>
      </c>
      <c r="Z101" s="306">
        <v>1.6</v>
      </c>
      <c r="AA101" s="306">
        <v>2.4</v>
      </c>
      <c r="AB101" s="306">
        <v>2</v>
      </c>
    </row>
    <row r="102" spans="1:28" x14ac:dyDescent="0.15">
      <c r="A102" s="306" t="s">
        <v>366</v>
      </c>
      <c r="B102" s="306" t="s">
        <v>811</v>
      </c>
      <c r="C102" s="306" t="s">
        <v>367</v>
      </c>
      <c r="D102" s="306" t="s">
        <v>79</v>
      </c>
      <c r="E102" s="306" t="s">
        <v>80</v>
      </c>
      <c r="F102" s="306">
        <v>4.9000000000000004</v>
      </c>
      <c r="G102" s="307">
        <v>1</v>
      </c>
      <c r="H102" s="306">
        <v>5</v>
      </c>
      <c r="I102" s="306">
        <v>4.95</v>
      </c>
      <c r="J102" s="306">
        <v>5</v>
      </c>
      <c r="K102" s="307">
        <v>0.85010498756841768</v>
      </c>
      <c r="L102" s="306">
        <v>4.2</v>
      </c>
      <c r="M102" s="306">
        <v>4.5999999999999996</v>
      </c>
      <c r="N102" s="306">
        <v>4.8</v>
      </c>
      <c r="O102" s="306">
        <v>5</v>
      </c>
      <c r="P102" s="307">
        <v>0.45871550151661561</v>
      </c>
      <c r="Q102" s="306">
        <v>2.2999999999999998</v>
      </c>
      <c r="R102" s="306">
        <v>3.65</v>
      </c>
      <c r="S102" s="306">
        <v>5</v>
      </c>
      <c r="T102" s="307">
        <v>6.6417338800522682E-2</v>
      </c>
      <c r="U102" s="306">
        <v>2.2000000000000002</v>
      </c>
      <c r="V102" s="306">
        <v>3.6</v>
      </c>
      <c r="W102" s="306">
        <v>5</v>
      </c>
      <c r="X102" s="307">
        <v>4.4169332672464293E-5</v>
      </c>
      <c r="Y102" s="306">
        <v>2.2000000000000002</v>
      </c>
      <c r="Z102" s="306">
        <v>3.6</v>
      </c>
      <c r="AA102" s="306">
        <v>3.6</v>
      </c>
      <c r="AB102" s="306">
        <v>3.6</v>
      </c>
    </row>
    <row r="103" spans="1:28" x14ac:dyDescent="0.15">
      <c r="A103" s="306" t="s">
        <v>368</v>
      </c>
      <c r="B103" s="306" t="s">
        <v>884</v>
      </c>
      <c r="C103" s="306" t="s">
        <v>369</v>
      </c>
      <c r="D103" s="306" t="s">
        <v>79</v>
      </c>
      <c r="E103" s="306" t="s">
        <v>80</v>
      </c>
      <c r="F103" s="306">
        <v>3.6</v>
      </c>
      <c r="G103" s="307">
        <v>0.15697047553169297</v>
      </c>
      <c r="H103" s="306">
        <v>0.7</v>
      </c>
      <c r="I103" s="306">
        <v>2.15</v>
      </c>
      <c r="J103" s="306">
        <v>4.2</v>
      </c>
      <c r="K103" s="307">
        <v>7.9070135209931211E-2</v>
      </c>
      <c r="L103" s="306">
        <v>0.3</v>
      </c>
      <c r="M103" s="306">
        <v>2.25</v>
      </c>
      <c r="N103" s="306">
        <v>2.2000000000000002</v>
      </c>
      <c r="O103" s="306">
        <v>4</v>
      </c>
      <c r="P103" s="307">
        <v>0.46916666666666668</v>
      </c>
      <c r="Q103" s="306">
        <v>2.2999999999999998</v>
      </c>
      <c r="R103" s="306">
        <v>3.15</v>
      </c>
      <c r="S103" s="306">
        <v>3.8</v>
      </c>
      <c r="T103" s="307">
        <v>5.5654233274126705E-2</v>
      </c>
      <c r="U103" s="306">
        <v>1.9</v>
      </c>
      <c r="V103" s="306">
        <v>2.9</v>
      </c>
      <c r="W103" s="306">
        <v>4</v>
      </c>
      <c r="X103" s="307">
        <v>7.7323860272350499E-5</v>
      </c>
      <c r="Y103" s="306">
        <v>3.9</v>
      </c>
      <c r="Z103" s="306">
        <v>4</v>
      </c>
      <c r="AA103" s="306">
        <v>3.5</v>
      </c>
      <c r="AB103" s="306">
        <v>3.3</v>
      </c>
    </row>
    <row r="104" spans="1:28" x14ac:dyDescent="0.15">
      <c r="A104" s="306" t="s">
        <v>885</v>
      </c>
      <c r="B104" s="306" t="s">
        <v>809</v>
      </c>
      <c r="C104" s="306" t="s">
        <v>370</v>
      </c>
      <c r="D104" s="306" t="s">
        <v>79</v>
      </c>
      <c r="E104" s="306" t="s">
        <v>80</v>
      </c>
      <c r="F104" s="306">
        <v>3.7</v>
      </c>
      <c r="G104" s="307">
        <v>0.17338954950206967</v>
      </c>
      <c r="H104" s="306">
        <v>0.8</v>
      </c>
      <c r="I104" s="306">
        <v>2.25</v>
      </c>
      <c r="J104" s="306">
        <v>4</v>
      </c>
      <c r="K104" s="307">
        <v>7.0723843159994026E-2</v>
      </c>
      <c r="L104" s="306">
        <v>0.3</v>
      </c>
      <c r="M104" s="306">
        <v>2.15</v>
      </c>
      <c r="N104" s="306">
        <v>2.2000000000000002</v>
      </c>
      <c r="O104" s="306">
        <v>4.5</v>
      </c>
      <c r="P104" s="307">
        <v>1</v>
      </c>
      <c r="Q104" s="306">
        <v>5</v>
      </c>
      <c r="R104" s="306">
        <v>4.75</v>
      </c>
      <c r="S104" s="306">
        <v>5</v>
      </c>
      <c r="T104" s="307">
        <v>0.28875776397515529</v>
      </c>
      <c r="U104" s="306">
        <v>5</v>
      </c>
      <c r="V104" s="306">
        <v>5</v>
      </c>
      <c r="W104" s="306">
        <v>4.5</v>
      </c>
      <c r="X104" s="307">
        <v>8.3726708074534164E-5</v>
      </c>
      <c r="Y104" s="306">
        <v>4.2</v>
      </c>
      <c r="Z104" s="306">
        <v>4.4000000000000004</v>
      </c>
      <c r="AA104" s="306">
        <v>4.7</v>
      </c>
      <c r="AB104" s="306">
        <v>4.7</v>
      </c>
    </row>
    <row r="105" spans="1:28" x14ac:dyDescent="0.15">
      <c r="A105" s="306" t="s">
        <v>371</v>
      </c>
      <c r="B105" s="306" t="s">
        <v>873</v>
      </c>
      <c r="C105" s="306" t="s">
        <v>372</v>
      </c>
      <c r="D105" s="306" t="s">
        <v>79</v>
      </c>
      <c r="E105" s="306" t="s">
        <v>80</v>
      </c>
      <c r="F105" s="306">
        <v>4</v>
      </c>
      <c r="G105" s="307">
        <v>0.26099673902302445</v>
      </c>
      <c r="H105" s="306">
        <v>1.2</v>
      </c>
      <c r="I105" s="306">
        <v>2.6</v>
      </c>
      <c r="J105" s="306">
        <v>5</v>
      </c>
      <c r="K105" s="307">
        <v>0.18778278555300773</v>
      </c>
      <c r="L105" s="306">
        <v>0.9</v>
      </c>
      <c r="M105" s="306">
        <v>2.95</v>
      </c>
      <c r="N105" s="306">
        <v>2.8</v>
      </c>
      <c r="O105" s="306">
        <v>4.8</v>
      </c>
      <c r="P105" s="307">
        <v>0.54362777205951152</v>
      </c>
      <c r="Q105" s="306">
        <v>2.7</v>
      </c>
      <c r="R105" s="306">
        <v>3.75</v>
      </c>
      <c r="S105" s="306">
        <v>4.0999999999999996</v>
      </c>
      <c r="T105" s="307">
        <v>2.9691466930590816E-2</v>
      </c>
      <c r="U105" s="306">
        <v>1</v>
      </c>
      <c r="V105" s="306">
        <v>2.6</v>
      </c>
      <c r="W105" s="306">
        <v>4.5999999999999996</v>
      </c>
      <c r="X105" s="307">
        <v>7.3755325100047334E-5</v>
      </c>
      <c r="Y105" s="306">
        <v>3.7</v>
      </c>
      <c r="Z105" s="306">
        <v>4.2</v>
      </c>
      <c r="AA105" s="306">
        <v>3.5</v>
      </c>
      <c r="AB105" s="306">
        <v>3.6</v>
      </c>
    </row>
    <row r="106" spans="1:28" x14ac:dyDescent="0.15">
      <c r="A106" s="306" t="s">
        <v>373</v>
      </c>
      <c r="B106" s="306" t="s">
        <v>824</v>
      </c>
      <c r="C106" s="306" t="s">
        <v>374</v>
      </c>
      <c r="D106" s="306" t="s">
        <v>79</v>
      </c>
      <c r="E106" s="306" t="s">
        <v>80</v>
      </c>
      <c r="F106" s="306">
        <v>3.4</v>
      </c>
      <c r="G106" s="307">
        <v>0.11953511863587953</v>
      </c>
      <c r="H106" s="306">
        <v>0.5</v>
      </c>
      <c r="I106" s="306">
        <v>1.95</v>
      </c>
      <c r="J106" s="306">
        <v>3.7</v>
      </c>
      <c r="K106" s="307">
        <v>5.5678553543659894E-2</v>
      </c>
      <c r="L106" s="306">
        <v>0.2</v>
      </c>
      <c r="M106" s="306">
        <v>1.9500000000000002</v>
      </c>
      <c r="N106" s="306">
        <v>2</v>
      </c>
      <c r="O106" s="306">
        <v>0.7</v>
      </c>
      <c r="P106" s="307">
        <v>6.8639053254437874E-3</v>
      </c>
      <c r="Q106" s="306">
        <v>0</v>
      </c>
      <c r="R106" s="306">
        <v>0.35</v>
      </c>
      <c r="S106" s="306">
        <v>2.8</v>
      </c>
      <c r="T106" s="307">
        <v>1</v>
      </c>
      <c r="U106" s="306">
        <v>5</v>
      </c>
      <c r="V106" s="306">
        <v>3.9</v>
      </c>
      <c r="W106" s="306" t="s">
        <v>246</v>
      </c>
      <c r="X106" s="307" t="s">
        <v>246</v>
      </c>
      <c r="Y106" s="306" t="s">
        <v>246</v>
      </c>
      <c r="Z106" s="306" t="s">
        <v>246</v>
      </c>
      <c r="AA106" s="306">
        <v>3.9</v>
      </c>
      <c r="AB106" s="306">
        <v>2.5</v>
      </c>
    </row>
    <row r="107" spans="1:28" x14ac:dyDescent="0.15">
      <c r="A107" s="306" t="s">
        <v>375</v>
      </c>
      <c r="B107" s="306" t="s">
        <v>844</v>
      </c>
      <c r="C107" s="306" t="s">
        <v>376</v>
      </c>
      <c r="D107" s="306" t="s">
        <v>377</v>
      </c>
      <c r="E107" s="306" t="s">
        <v>378</v>
      </c>
      <c r="F107" s="306">
        <v>3.5</v>
      </c>
      <c r="G107" s="307">
        <v>1</v>
      </c>
      <c r="H107" s="306">
        <v>5</v>
      </c>
      <c r="I107" s="306">
        <v>4.25</v>
      </c>
      <c r="J107" s="306">
        <v>2.9</v>
      </c>
      <c r="K107" s="307">
        <v>1</v>
      </c>
      <c r="L107" s="306">
        <v>5</v>
      </c>
      <c r="M107" s="306">
        <v>3.95</v>
      </c>
      <c r="N107" s="306">
        <v>4.0999999999999996</v>
      </c>
      <c r="O107" s="306">
        <v>1.5</v>
      </c>
      <c r="P107" s="307">
        <v>3.4731869963878857E-2</v>
      </c>
      <c r="Q107" s="306">
        <v>0.1</v>
      </c>
      <c r="R107" s="306">
        <v>0.8</v>
      </c>
      <c r="S107" s="306">
        <v>3.4</v>
      </c>
      <c r="T107" s="307">
        <v>1</v>
      </c>
      <c r="U107" s="306">
        <v>5</v>
      </c>
      <c r="V107" s="306">
        <v>4.2</v>
      </c>
      <c r="W107" s="306">
        <v>0.7</v>
      </c>
      <c r="X107" s="307">
        <v>1.2E-5</v>
      </c>
      <c r="Y107" s="306">
        <v>0.6</v>
      </c>
      <c r="Z107" s="306">
        <v>0.7</v>
      </c>
      <c r="AA107" s="306">
        <v>2.9</v>
      </c>
      <c r="AB107" s="306">
        <v>2</v>
      </c>
    </row>
    <row r="108" spans="1:28" x14ac:dyDescent="0.15">
      <c r="A108" s="306" t="s">
        <v>987</v>
      </c>
      <c r="B108" s="306" t="s">
        <v>158</v>
      </c>
      <c r="C108" s="306" t="s">
        <v>988</v>
      </c>
      <c r="D108" s="306" t="s">
        <v>671</v>
      </c>
      <c r="E108" s="306" t="s">
        <v>672</v>
      </c>
      <c r="F108" s="306">
        <v>3.3</v>
      </c>
      <c r="G108" s="307">
        <v>0.63700732472968258</v>
      </c>
      <c r="H108" s="306">
        <v>3.1</v>
      </c>
      <c r="I108" s="306">
        <v>3.2</v>
      </c>
      <c r="J108" s="306">
        <v>3.6</v>
      </c>
      <c r="K108" s="307">
        <v>0.41049202811589236</v>
      </c>
      <c r="L108" s="306">
        <v>2</v>
      </c>
      <c r="M108" s="306">
        <v>2.8</v>
      </c>
      <c r="N108" s="306">
        <v>3</v>
      </c>
      <c r="O108" s="306">
        <v>2.9</v>
      </c>
      <c r="P108" s="307">
        <v>0.1364851319746074</v>
      </c>
      <c r="Q108" s="306">
        <v>0.6</v>
      </c>
      <c r="R108" s="306">
        <v>1.75</v>
      </c>
      <c r="S108" s="306">
        <v>2.5</v>
      </c>
      <c r="T108" s="307">
        <v>3.5495716034271728E-2</v>
      </c>
      <c r="U108" s="306">
        <v>1.2</v>
      </c>
      <c r="V108" s="306">
        <v>1.9</v>
      </c>
      <c r="W108" s="306">
        <v>3.1</v>
      </c>
      <c r="X108" s="307">
        <v>9.3635250917992663E-5</v>
      </c>
      <c r="Y108" s="306">
        <v>4.7</v>
      </c>
      <c r="Z108" s="306">
        <v>3.9</v>
      </c>
      <c r="AA108" s="306">
        <v>3.1</v>
      </c>
      <c r="AB108" s="306">
        <v>2.5</v>
      </c>
    </row>
    <row r="109" spans="1:28" x14ac:dyDescent="0.15">
      <c r="A109" s="306" t="s">
        <v>379</v>
      </c>
      <c r="B109" s="306" t="s">
        <v>821</v>
      </c>
      <c r="C109" s="306" t="s">
        <v>380</v>
      </c>
      <c r="D109" s="306" t="s">
        <v>73</v>
      </c>
      <c r="E109" s="306" t="s">
        <v>74</v>
      </c>
      <c r="F109" s="306">
        <v>4.8</v>
      </c>
      <c r="G109" s="307">
        <v>1</v>
      </c>
      <c r="H109" s="306">
        <v>5</v>
      </c>
      <c r="I109" s="306">
        <v>4.9000000000000004</v>
      </c>
      <c r="J109" s="306">
        <v>5</v>
      </c>
      <c r="K109" s="307">
        <v>0.98375145222935167</v>
      </c>
      <c r="L109" s="306">
        <v>4.9000000000000004</v>
      </c>
      <c r="M109" s="306">
        <v>4.95</v>
      </c>
      <c r="N109" s="306">
        <v>4.9000000000000004</v>
      </c>
      <c r="O109" s="306">
        <v>5</v>
      </c>
      <c r="P109" s="307">
        <v>0.3939983224347231</v>
      </c>
      <c r="Q109" s="306">
        <v>1.9</v>
      </c>
      <c r="R109" s="306">
        <v>3.45</v>
      </c>
      <c r="S109" s="306">
        <v>5</v>
      </c>
      <c r="T109" s="307">
        <v>3.8108351427209662E-2</v>
      </c>
      <c r="U109" s="306">
        <v>1.3</v>
      </c>
      <c r="V109" s="306">
        <v>3.2</v>
      </c>
      <c r="W109" s="306">
        <v>4.4000000000000004</v>
      </c>
      <c r="X109" s="307">
        <v>1.3493618598739608E-5</v>
      </c>
      <c r="Y109" s="306">
        <v>0.7</v>
      </c>
      <c r="Z109" s="306">
        <v>2.6</v>
      </c>
      <c r="AA109" s="306">
        <v>2.9</v>
      </c>
      <c r="AB109" s="306">
        <v>3.2</v>
      </c>
    </row>
    <row r="110" spans="1:28" x14ac:dyDescent="0.15">
      <c r="A110" s="306" t="s">
        <v>381</v>
      </c>
      <c r="B110" s="306" t="s">
        <v>165</v>
      </c>
      <c r="C110" s="306" t="s">
        <v>382</v>
      </c>
      <c r="D110" s="306" t="s">
        <v>73</v>
      </c>
      <c r="E110" s="306" t="s">
        <v>74</v>
      </c>
      <c r="F110" s="306">
        <v>1.9</v>
      </c>
      <c r="G110" s="307">
        <v>1.7249117891241179E-2</v>
      </c>
      <c r="H110" s="306">
        <v>0</v>
      </c>
      <c r="I110" s="306">
        <v>0.95</v>
      </c>
      <c r="J110" s="306">
        <v>2.1</v>
      </c>
      <c r="K110" s="307">
        <v>1.7155806248999348E-2</v>
      </c>
      <c r="L110" s="306">
        <v>0</v>
      </c>
      <c r="M110" s="306">
        <v>1.05</v>
      </c>
      <c r="N110" s="306">
        <v>1</v>
      </c>
      <c r="O110" s="306" t="s">
        <v>246</v>
      </c>
      <c r="P110" s="307" t="s">
        <v>246</v>
      </c>
      <c r="Q110" s="306" t="s">
        <v>246</v>
      </c>
      <c r="R110" s="306" t="s">
        <v>246</v>
      </c>
      <c r="S110" s="306" t="s">
        <v>246</v>
      </c>
      <c r="T110" s="307" t="s">
        <v>246</v>
      </c>
      <c r="U110" s="306" t="s">
        <v>246</v>
      </c>
      <c r="V110" s="306" t="s">
        <v>246</v>
      </c>
      <c r="W110" s="306">
        <v>0.4</v>
      </c>
      <c r="X110" s="307" t="s">
        <v>246</v>
      </c>
      <c r="Y110" s="306" t="s">
        <v>246</v>
      </c>
      <c r="Z110" s="306">
        <v>0.4</v>
      </c>
      <c r="AA110" s="306">
        <v>0.4</v>
      </c>
      <c r="AB110" s="306">
        <v>0.4</v>
      </c>
    </row>
    <row r="111" spans="1:28" x14ac:dyDescent="0.15">
      <c r="A111" s="306" t="s">
        <v>886</v>
      </c>
      <c r="B111" s="306" t="s">
        <v>887</v>
      </c>
      <c r="C111" s="306" t="s">
        <v>383</v>
      </c>
      <c r="D111" s="306" t="s">
        <v>73</v>
      </c>
      <c r="E111" s="306" t="s">
        <v>74</v>
      </c>
      <c r="F111" s="306">
        <v>4.7</v>
      </c>
      <c r="G111" s="307">
        <v>0.86891734122042341</v>
      </c>
      <c r="H111" s="306">
        <v>4.3</v>
      </c>
      <c r="I111" s="306">
        <v>4.5</v>
      </c>
      <c r="J111" s="306">
        <v>5</v>
      </c>
      <c r="K111" s="307">
        <v>0.13547298545512765</v>
      </c>
      <c r="L111" s="306">
        <v>0.6</v>
      </c>
      <c r="M111" s="306">
        <v>2.8</v>
      </c>
      <c r="N111" s="306">
        <v>3.8</v>
      </c>
      <c r="O111" s="306">
        <v>5</v>
      </c>
      <c r="P111" s="307">
        <v>1</v>
      </c>
      <c r="Q111" s="306">
        <v>5</v>
      </c>
      <c r="R111" s="306">
        <v>5</v>
      </c>
      <c r="S111" s="306">
        <v>3.5</v>
      </c>
      <c r="T111" s="307">
        <v>9.0909090909090905E-3</v>
      </c>
      <c r="U111" s="306">
        <v>0.3</v>
      </c>
      <c r="V111" s="306">
        <v>1.9</v>
      </c>
      <c r="W111" s="306">
        <v>4.5999999999999996</v>
      </c>
      <c r="X111" s="307">
        <v>5.2696969696969699E-5</v>
      </c>
      <c r="Y111" s="306">
        <v>2.6</v>
      </c>
      <c r="Z111" s="306">
        <v>3.6</v>
      </c>
      <c r="AA111" s="306">
        <v>2.9</v>
      </c>
      <c r="AB111" s="306">
        <v>4.2</v>
      </c>
    </row>
    <row r="112" spans="1:28" x14ac:dyDescent="0.15">
      <c r="A112" s="306" t="s">
        <v>384</v>
      </c>
      <c r="B112" s="306" t="s">
        <v>824</v>
      </c>
      <c r="C112" s="306" t="s">
        <v>385</v>
      </c>
      <c r="D112" s="306" t="s">
        <v>386</v>
      </c>
      <c r="E112" s="306" t="s">
        <v>387</v>
      </c>
      <c r="F112" s="306">
        <v>3.1</v>
      </c>
      <c r="G112" s="307">
        <v>1</v>
      </c>
      <c r="H112" s="306">
        <v>5</v>
      </c>
      <c r="I112" s="306">
        <v>4.05</v>
      </c>
      <c r="J112" s="306">
        <v>0</v>
      </c>
      <c r="K112" s="307">
        <v>1.3404206147446267E-2</v>
      </c>
      <c r="L112" s="306">
        <v>0</v>
      </c>
      <c r="M112" s="306">
        <v>0</v>
      </c>
      <c r="N112" s="306">
        <v>2.5</v>
      </c>
      <c r="O112" s="306">
        <v>0.4</v>
      </c>
      <c r="P112" s="307">
        <v>1</v>
      </c>
      <c r="Q112" s="306">
        <v>5</v>
      </c>
      <c r="R112" s="306">
        <v>2.7</v>
      </c>
      <c r="S112" s="306">
        <v>2.5</v>
      </c>
      <c r="T112" s="307">
        <v>1</v>
      </c>
      <c r="U112" s="306">
        <v>5</v>
      </c>
      <c r="V112" s="306">
        <v>3.8</v>
      </c>
      <c r="W112" s="306">
        <v>1.3</v>
      </c>
      <c r="X112" s="307">
        <v>1.3793103448275863E-4</v>
      </c>
      <c r="Y112" s="306">
        <v>5</v>
      </c>
      <c r="Z112" s="306">
        <v>3.2</v>
      </c>
      <c r="AA112" s="306">
        <v>3.5</v>
      </c>
      <c r="AB112" s="306">
        <v>3.1</v>
      </c>
    </row>
    <row r="113" spans="1:28" x14ac:dyDescent="0.15">
      <c r="A113" s="306" t="s">
        <v>388</v>
      </c>
      <c r="B113" s="306" t="s">
        <v>824</v>
      </c>
      <c r="C113" s="306" t="s">
        <v>389</v>
      </c>
      <c r="D113" s="306" t="s">
        <v>390</v>
      </c>
      <c r="E113" s="306" t="s">
        <v>391</v>
      </c>
      <c r="F113" s="306">
        <v>3.8</v>
      </c>
      <c r="G113" s="307">
        <v>0.14790234375</v>
      </c>
      <c r="H113" s="306">
        <v>0.7</v>
      </c>
      <c r="I113" s="306">
        <v>2.25</v>
      </c>
      <c r="J113" s="306">
        <v>5</v>
      </c>
      <c r="K113" s="307">
        <v>1</v>
      </c>
      <c r="L113" s="306">
        <v>5</v>
      </c>
      <c r="M113" s="306">
        <v>5</v>
      </c>
      <c r="N113" s="306">
        <v>4</v>
      </c>
      <c r="O113" s="306">
        <v>4.4000000000000004</v>
      </c>
      <c r="P113" s="307">
        <v>0.42939794419970634</v>
      </c>
      <c r="Q113" s="306">
        <v>2.1</v>
      </c>
      <c r="R113" s="306">
        <v>3.25</v>
      </c>
      <c r="S113" s="306">
        <v>4.5999999999999996</v>
      </c>
      <c r="T113" s="307">
        <v>0.11011558716914027</v>
      </c>
      <c r="U113" s="306">
        <v>3.7</v>
      </c>
      <c r="V113" s="306">
        <v>4.2</v>
      </c>
      <c r="W113" s="306">
        <v>0.9</v>
      </c>
      <c r="X113" s="307">
        <v>2.7357909855687027E-7</v>
      </c>
      <c r="Y113" s="306">
        <v>0</v>
      </c>
      <c r="Z113" s="306">
        <v>0.5</v>
      </c>
      <c r="AA113" s="306">
        <v>2.8</v>
      </c>
      <c r="AB113" s="306">
        <v>3</v>
      </c>
    </row>
    <row r="114" spans="1:28" x14ac:dyDescent="0.15">
      <c r="A114" s="306" t="s">
        <v>394</v>
      </c>
      <c r="B114" s="306" t="s">
        <v>888</v>
      </c>
      <c r="C114" s="306" t="s">
        <v>395</v>
      </c>
      <c r="D114" s="306" t="s">
        <v>392</v>
      </c>
      <c r="E114" s="306" t="s">
        <v>393</v>
      </c>
      <c r="F114" s="306">
        <v>3.3</v>
      </c>
      <c r="G114" s="307">
        <v>0.33520810276017038</v>
      </c>
      <c r="H114" s="306">
        <v>1.6</v>
      </c>
      <c r="I114" s="306">
        <v>2.4500000000000002</v>
      </c>
      <c r="J114" s="306">
        <v>4.7</v>
      </c>
      <c r="K114" s="307">
        <v>0.24077114268157346</v>
      </c>
      <c r="L114" s="306">
        <v>1.2</v>
      </c>
      <c r="M114" s="306">
        <v>2.95</v>
      </c>
      <c r="N114" s="306">
        <v>2.7</v>
      </c>
      <c r="O114" s="306">
        <v>1.1000000000000001</v>
      </c>
      <c r="P114" s="307">
        <v>5.5233886941947283E-3</v>
      </c>
      <c r="Q114" s="306">
        <v>0</v>
      </c>
      <c r="R114" s="306">
        <v>0.55000000000000004</v>
      </c>
      <c r="S114" s="306">
        <v>3.1</v>
      </c>
      <c r="T114" s="307">
        <v>1</v>
      </c>
      <c r="U114" s="306">
        <v>5</v>
      </c>
      <c r="V114" s="306">
        <v>4.0999999999999996</v>
      </c>
      <c r="W114" s="306">
        <v>3.3</v>
      </c>
      <c r="X114" s="307">
        <v>1.4965517241379311E-3</v>
      </c>
      <c r="Y114" s="306">
        <v>5</v>
      </c>
      <c r="Z114" s="306">
        <v>4.2</v>
      </c>
      <c r="AA114" s="306">
        <v>4.2</v>
      </c>
      <c r="AB114" s="306">
        <v>2.8</v>
      </c>
    </row>
    <row r="115" spans="1:28" x14ac:dyDescent="0.15">
      <c r="A115" s="306" t="s">
        <v>889</v>
      </c>
      <c r="B115" s="306" t="s">
        <v>158</v>
      </c>
      <c r="C115" s="306" t="s">
        <v>890</v>
      </c>
      <c r="D115" s="306" t="s">
        <v>578</v>
      </c>
      <c r="E115" s="306" t="s">
        <v>579</v>
      </c>
      <c r="F115" s="306">
        <v>3</v>
      </c>
      <c r="G115" s="307">
        <v>0.14061520116592324</v>
      </c>
      <c r="H115" s="306">
        <v>0.6</v>
      </c>
      <c r="I115" s="306">
        <v>1.8</v>
      </c>
      <c r="J115" s="306">
        <v>2.2000000000000002</v>
      </c>
      <c r="K115" s="307">
        <v>0.38754031573586828</v>
      </c>
      <c r="L115" s="306">
        <v>1.9</v>
      </c>
      <c r="M115" s="306">
        <v>2.0499999999999998</v>
      </c>
      <c r="N115" s="306">
        <v>1.9</v>
      </c>
      <c r="O115" s="306">
        <v>1.5</v>
      </c>
      <c r="P115" s="307">
        <v>5.803766973280771E-2</v>
      </c>
      <c r="Q115" s="306">
        <v>0.2</v>
      </c>
      <c r="R115" s="306">
        <v>0.85</v>
      </c>
      <c r="S115" s="306">
        <v>2.1</v>
      </c>
      <c r="T115" s="307">
        <v>0.1169811320754717</v>
      </c>
      <c r="U115" s="306">
        <v>3.9</v>
      </c>
      <c r="V115" s="306">
        <v>3</v>
      </c>
      <c r="W115" s="306">
        <v>3.2</v>
      </c>
      <c r="X115" s="307">
        <v>6.7169811320754716E-4</v>
      </c>
      <c r="Y115" s="306">
        <v>5</v>
      </c>
      <c r="Z115" s="306">
        <v>4.0999999999999996</v>
      </c>
      <c r="AA115" s="306">
        <v>3.6</v>
      </c>
      <c r="AB115" s="306">
        <v>2.5</v>
      </c>
    </row>
    <row r="116" spans="1:28" x14ac:dyDescent="0.15">
      <c r="A116" s="306" t="s">
        <v>891</v>
      </c>
      <c r="B116" s="306" t="s">
        <v>821</v>
      </c>
      <c r="C116" s="306" t="s">
        <v>396</v>
      </c>
      <c r="D116" s="306" t="s">
        <v>397</v>
      </c>
      <c r="E116" s="306" t="s">
        <v>398</v>
      </c>
      <c r="F116" s="306">
        <v>4.0999999999999996</v>
      </c>
      <c r="G116" s="307">
        <v>1</v>
      </c>
      <c r="H116" s="306">
        <v>5</v>
      </c>
      <c r="I116" s="306">
        <v>4.55</v>
      </c>
      <c r="J116" s="306">
        <v>5</v>
      </c>
      <c r="K116" s="307">
        <v>1</v>
      </c>
      <c r="L116" s="306">
        <v>5</v>
      </c>
      <c r="M116" s="306">
        <v>5</v>
      </c>
      <c r="N116" s="306">
        <v>4.8</v>
      </c>
      <c r="O116" s="306">
        <v>2.5</v>
      </c>
      <c r="P116" s="307">
        <v>2.5332203928212189E-2</v>
      </c>
      <c r="Q116" s="306">
        <v>0.1</v>
      </c>
      <c r="R116" s="306">
        <v>1.3</v>
      </c>
      <c r="S116" s="306">
        <v>4.3</v>
      </c>
      <c r="T116" s="307">
        <v>1</v>
      </c>
      <c r="U116" s="306">
        <v>5</v>
      </c>
      <c r="V116" s="306">
        <v>4.7</v>
      </c>
      <c r="W116" s="306">
        <v>0</v>
      </c>
      <c r="X116" s="307">
        <v>0</v>
      </c>
      <c r="Y116" s="306">
        <v>0</v>
      </c>
      <c r="Z116" s="306">
        <v>0</v>
      </c>
      <c r="AA116" s="306">
        <v>3.1</v>
      </c>
      <c r="AB116" s="306">
        <v>2.2999999999999998</v>
      </c>
    </row>
    <row r="117" spans="1:28" x14ac:dyDescent="0.15">
      <c r="A117" s="306" t="s">
        <v>399</v>
      </c>
      <c r="B117" s="306" t="s">
        <v>892</v>
      </c>
      <c r="C117" s="306" t="s">
        <v>400</v>
      </c>
      <c r="D117" s="306" t="s">
        <v>401</v>
      </c>
      <c r="E117" s="306" t="s">
        <v>402</v>
      </c>
      <c r="F117" s="306">
        <v>3.5</v>
      </c>
      <c r="G117" s="307">
        <v>1</v>
      </c>
      <c r="H117" s="306">
        <v>5</v>
      </c>
      <c r="I117" s="306">
        <v>4.25</v>
      </c>
      <c r="J117" s="306">
        <v>4.7</v>
      </c>
      <c r="K117" s="307">
        <v>1</v>
      </c>
      <c r="L117" s="306">
        <v>5</v>
      </c>
      <c r="M117" s="306">
        <v>4.8499999999999996</v>
      </c>
      <c r="N117" s="306">
        <v>4.5999999999999996</v>
      </c>
      <c r="O117" s="306">
        <v>4.9000000000000004</v>
      </c>
      <c r="P117" s="307">
        <v>1</v>
      </c>
      <c r="Q117" s="306">
        <v>5</v>
      </c>
      <c r="R117" s="306">
        <v>4.95</v>
      </c>
      <c r="S117" s="306">
        <v>2.2000000000000002</v>
      </c>
      <c r="T117" s="307">
        <v>1.2990982729634724E-3</v>
      </c>
      <c r="U117" s="306">
        <v>0</v>
      </c>
      <c r="V117" s="306">
        <v>1.1000000000000001</v>
      </c>
      <c r="W117" s="306">
        <v>0</v>
      </c>
      <c r="X117" s="307">
        <v>0</v>
      </c>
      <c r="Y117" s="306">
        <v>0</v>
      </c>
      <c r="Z117" s="306">
        <v>0</v>
      </c>
      <c r="AA117" s="306">
        <v>0.6</v>
      </c>
      <c r="AB117" s="306">
        <v>3.5</v>
      </c>
    </row>
    <row r="118" spans="1:28" x14ac:dyDescent="0.15">
      <c r="A118" s="306" t="s">
        <v>403</v>
      </c>
      <c r="B118" s="306" t="s">
        <v>847</v>
      </c>
      <c r="C118" s="306" t="s">
        <v>404</v>
      </c>
      <c r="D118" s="306" t="s">
        <v>77</v>
      </c>
      <c r="E118" s="306" t="s">
        <v>78</v>
      </c>
      <c r="F118" s="306">
        <v>1.3</v>
      </c>
      <c r="G118" s="307">
        <v>1</v>
      </c>
      <c r="H118" s="306">
        <v>5</v>
      </c>
      <c r="I118" s="306">
        <v>3.15</v>
      </c>
      <c r="J118" s="306">
        <v>2.5</v>
      </c>
      <c r="K118" s="307">
        <v>0.98913237128095488</v>
      </c>
      <c r="L118" s="306">
        <v>4.9000000000000004</v>
      </c>
      <c r="M118" s="306">
        <v>3.7</v>
      </c>
      <c r="N118" s="306">
        <v>3.4</v>
      </c>
      <c r="O118" s="306">
        <v>3.6</v>
      </c>
      <c r="P118" s="307">
        <v>0.85032420749279536</v>
      </c>
      <c r="Q118" s="306">
        <v>4.2</v>
      </c>
      <c r="R118" s="306">
        <v>3.9000000000000004</v>
      </c>
      <c r="S118" s="306">
        <v>5</v>
      </c>
      <c r="T118" s="307">
        <v>1.3857233636941326</v>
      </c>
      <c r="U118" s="306">
        <v>5</v>
      </c>
      <c r="V118" s="306">
        <v>5</v>
      </c>
      <c r="W118" s="306">
        <v>5</v>
      </c>
      <c r="X118" s="307">
        <v>6.9743698368989618E-3</v>
      </c>
      <c r="Y118" s="306">
        <v>5</v>
      </c>
      <c r="Z118" s="306">
        <v>5</v>
      </c>
      <c r="AA118" s="306">
        <v>5</v>
      </c>
      <c r="AB118" s="306">
        <v>4.5</v>
      </c>
    </row>
    <row r="119" spans="1:28" x14ac:dyDescent="0.15">
      <c r="A119" s="306" t="s">
        <v>893</v>
      </c>
      <c r="B119" s="306" t="s">
        <v>894</v>
      </c>
      <c r="C119" s="306" t="s">
        <v>895</v>
      </c>
      <c r="D119" s="306" t="s">
        <v>77</v>
      </c>
      <c r="E119" s="306" t="s">
        <v>78</v>
      </c>
      <c r="F119" s="306">
        <v>1.3</v>
      </c>
      <c r="G119" s="307">
        <v>0.93941908713692945</v>
      </c>
      <c r="H119" s="306">
        <v>4.7</v>
      </c>
      <c r="I119" s="306">
        <v>3</v>
      </c>
      <c r="J119" s="306">
        <v>1.7</v>
      </c>
      <c r="K119" s="307">
        <v>0.59255300195973637</v>
      </c>
      <c r="L119" s="306">
        <v>2.9</v>
      </c>
      <c r="M119" s="306">
        <v>2.2999999999999998</v>
      </c>
      <c r="N119" s="306">
        <v>2.7</v>
      </c>
      <c r="O119" s="306">
        <v>3.2</v>
      </c>
      <c r="P119" s="307">
        <v>0.74984966927239927</v>
      </c>
      <c r="Q119" s="306">
        <v>3.7</v>
      </c>
      <c r="R119" s="306">
        <v>3.45</v>
      </c>
      <c r="S119" s="306">
        <v>5</v>
      </c>
      <c r="T119" s="307">
        <v>1.1896551724137931</v>
      </c>
      <c r="U119" s="306">
        <v>5</v>
      </c>
      <c r="V119" s="306">
        <v>5</v>
      </c>
      <c r="W119" s="306">
        <v>3.8</v>
      </c>
      <c r="X119" s="307">
        <v>1.8243785084202084E-4</v>
      </c>
      <c r="Y119" s="306">
        <v>5</v>
      </c>
      <c r="Z119" s="306">
        <v>4.4000000000000004</v>
      </c>
      <c r="AA119" s="306">
        <v>4.7</v>
      </c>
      <c r="AB119" s="306">
        <v>4.2</v>
      </c>
    </row>
    <row r="120" spans="1:28" x14ac:dyDescent="0.15">
      <c r="A120" s="306" t="s">
        <v>896</v>
      </c>
      <c r="B120" s="306" t="s">
        <v>894</v>
      </c>
      <c r="C120" s="306" t="s">
        <v>897</v>
      </c>
      <c r="D120" s="306" t="s">
        <v>77</v>
      </c>
      <c r="E120" s="306" t="s">
        <v>78</v>
      </c>
      <c r="F120" s="306">
        <v>0</v>
      </c>
      <c r="G120" s="307">
        <v>6.0580912863070539E-2</v>
      </c>
      <c r="H120" s="306">
        <v>0.2</v>
      </c>
      <c r="I120" s="306">
        <v>0.1</v>
      </c>
      <c r="J120" s="306">
        <v>1.2</v>
      </c>
      <c r="K120" s="307">
        <v>0.39675752716907181</v>
      </c>
      <c r="L120" s="306">
        <v>2</v>
      </c>
      <c r="M120" s="306">
        <v>1.6</v>
      </c>
      <c r="N120" s="306">
        <v>0.9</v>
      </c>
      <c r="O120" s="306">
        <v>3.1</v>
      </c>
      <c r="P120" s="307">
        <v>1</v>
      </c>
      <c r="Q120" s="306">
        <v>5</v>
      </c>
      <c r="R120" s="306">
        <v>4.05</v>
      </c>
      <c r="S120" s="306">
        <v>5</v>
      </c>
      <c r="T120" s="307">
        <v>1.6052986079928155</v>
      </c>
      <c r="U120" s="306">
        <v>5</v>
      </c>
      <c r="V120" s="306">
        <v>5</v>
      </c>
      <c r="W120" s="306">
        <v>5</v>
      </c>
      <c r="X120" s="307">
        <v>1.4580601706331388E-2</v>
      </c>
      <c r="Y120" s="306">
        <v>5</v>
      </c>
      <c r="Z120" s="306">
        <v>5</v>
      </c>
      <c r="AA120" s="306">
        <v>5</v>
      </c>
      <c r="AB120" s="306">
        <v>4.5999999999999996</v>
      </c>
    </row>
    <row r="121" spans="1:28" x14ac:dyDescent="0.15">
      <c r="A121" s="306" t="s">
        <v>898</v>
      </c>
      <c r="B121" s="306">
        <v>0</v>
      </c>
      <c r="C121" s="306" t="s">
        <v>405</v>
      </c>
      <c r="D121" s="306" t="s">
        <v>406</v>
      </c>
      <c r="E121" s="306" t="s">
        <v>407</v>
      </c>
      <c r="F121" s="306">
        <v>4.3</v>
      </c>
      <c r="G121" s="307">
        <v>9.4380950432037813E-2</v>
      </c>
      <c r="H121" s="306">
        <v>0.4</v>
      </c>
      <c r="I121" s="306">
        <v>2.35</v>
      </c>
      <c r="J121" s="306">
        <v>4.4000000000000004</v>
      </c>
      <c r="K121" s="307">
        <v>1</v>
      </c>
      <c r="L121" s="306">
        <v>5</v>
      </c>
      <c r="M121" s="306">
        <v>4.7</v>
      </c>
      <c r="N121" s="306">
        <v>3.8</v>
      </c>
      <c r="O121" s="306">
        <v>4.2</v>
      </c>
      <c r="P121" s="307">
        <v>0.51532175689479065</v>
      </c>
      <c r="Q121" s="306">
        <v>2.6</v>
      </c>
      <c r="R121" s="306">
        <v>3.4000000000000004</v>
      </c>
      <c r="S121" s="306">
        <v>5</v>
      </c>
      <c r="T121" s="307">
        <v>0.48481845211280294</v>
      </c>
      <c r="U121" s="306">
        <v>5</v>
      </c>
      <c r="V121" s="306">
        <v>5</v>
      </c>
      <c r="W121" s="306">
        <v>4.7</v>
      </c>
      <c r="X121" s="307">
        <v>1.6704207586269032E-4</v>
      </c>
      <c r="Y121" s="306">
        <v>5</v>
      </c>
      <c r="Z121" s="306">
        <v>4.9000000000000004</v>
      </c>
      <c r="AA121" s="306">
        <v>5</v>
      </c>
      <c r="AB121" s="306">
        <v>4.4000000000000004</v>
      </c>
    </row>
    <row r="122" spans="1:28" x14ac:dyDescent="0.15">
      <c r="A122" s="306" t="s">
        <v>408</v>
      </c>
      <c r="B122" s="306">
        <v>0</v>
      </c>
      <c r="C122" s="306" t="s">
        <v>409</v>
      </c>
      <c r="D122" s="306" t="s">
        <v>410</v>
      </c>
      <c r="E122" s="306" t="s">
        <v>411</v>
      </c>
      <c r="F122" s="306">
        <v>5</v>
      </c>
      <c r="G122" s="307">
        <v>0.45584116560926791</v>
      </c>
      <c r="H122" s="306">
        <v>2.2000000000000002</v>
      </c>
      <c r="I122" s="306">
        <v>3.6</v>
      </c>
      <c r="J122" s="306">
        <v>5</v>
      </c>
      <c r="K122" s="307">
        <v>0.25611645544821754</v>
      </c>
      <c r="L122" s="306">
        <v>1.2</v>
      </c>
      <c r="M122" s="306">
        <v>3.1</v>
      </c>
      <c r="N122" s="306">
        <v>3.4</v>
      </c>
      <c r="O122" s="306">
        <v>5</v>
      </c>
      <c r="P122" s="307">
        <v>0.30127051053628229</v>
      </c>
      <c r="Q122" s="306">
        <v>1.5</v>
      </c>
      <c r="R122" s="306">
        <v>3.25</v>
      </c>
      <c r="S122" s="306">
        <v>5</v>
      </c>
      <c r="T122" s="307">
        <v>0.18571671852987165</v>
      </c>
      <c r="U122" s="306">
        <v>5</v>
      </c>
      <c r="V122" s="306">
        <v>5</v>
      </c>
      <c r="W122" s="306">
        <v>3.9</v>
      </c>
      <c r="X122" s="307">
        <v>7.9265555091108943E-6</v>
      </c>
      <c r="Y122" s="306">
        <v>0.4</v>
      </c>
      <c r="Z122" s="306">
        <v>2.2000000000000002</v>
      </c>
      <c r="AA122" s="306">
        <v>4</v>
      </c>
      <c r="AB122" s="306">
        <v>3.7</v>
      </c>
    </row>
    <row r="123" spans="1:28" x14ac:dyDescent="0.15">
      <c r="A123" s="306" t="s">
        <v>412</v>
      </c>
      <c r="B123" s="306">
        <v>0</v>
      </c>
      <c r="C123" s="306" t="s">
        <v>413</v>
      </c>
      <c r="D123" s="306" t="s">
        <v>580</v>
      </c>
      <c r="E123" s="306" t="s">
        <v>414</v>
      </c>
      <c r="F123" s="306">
        <v>4.5999999999999996</v>
      </c>
      <c r="G123" s="307">
        <v>0.22815732703913433</v>
      </c>
      <c r="H123" s="306">
        <v>1.1000000000000001</v>
      </c>
      <c r="I123" s="306">
        <v>2.8499999999999996</v>
      </c>
      <c r="J123" s="306">
        <v>5</v>
      </c>
      <c r="K123" s="307">
        <v>0.34576992367560522</v>
      </c>
      <c r="L123" s="306">
        <v>1.7</v>
      </c>
      <c r="M123" s="306">
        <v>3.35</v>
      </c>
      <c r="N123" s="306">
        <v>3.1</v>
      </c>
      <c r="O123" s="306">
        <v>5</v>
      </c>
      <c r="P123" s="307">
        <v>0.35713693805676405</v>
      </c>
      <c r="Q123" s="306">
        <v>1.8</v>
      </c>
      <c r="R123" s="306">
        <v>3.4</v>
      </c>
      <c r="S123" s="306">
        <v>5</v>
      </c>
      <c r="T123" s="307">
        <v>0.716978943094147</v>
      </c>
      <c r="U123" s="306">
        <v>5</v>
      </c>
      <c r="V123" s="306">
        <v>5</v>
      </c>
      <c r="W123" s="306">
        <v>4.9000000000000004</v>
      </c>
      <c r="X123" s="307">
        <v>7.4076222518707575E-5</v>
      </c>
      <c r="Y123" s="306">
        <v>3.7</v>
      </c>
      <c r="Z123" s="306">
        <v>4.3</v>
      </c>
      <c r="AA123" s="306">
        <v>4.7</v>
      </c>
      <c r="AB123" s="306">
        <v>4.0999999999999996</v>
      </c>
    </row>
    <row r="124" spans="1:28" x14ac:dyDescent="0.15">
      <c r="A124" s="306" t="s">
        <v>899</v>
      </c>
      <c r="B124" s="306">
        <v>0</v>
      </c>
      <c r="C124" s="306" t="s">
        <v>415</v>
      </c>
      <c r="D124" s="306" t="s">
        <v>581</v>
      </c>
      <c r="E124" s="306" t="s">
        <v>416</v>
      </c>
      <c r="F124" s="306">
        <v>3.6</v>
      </c>
      <c r="G124" s="307">
        <v>0.16715635538045473</v>
      </c>
      <c r="H124" s="306">
        <v>0.8</v>
      </c>
      <c r="I124" s="306">
        <v>2.2000000000000002</v>
      </c>
      <c r="J124" s="306">
        <v>4</v>
      </c>
      <c r="K124" s="307">
        <v>0.17174840420514217</v>
      </c>
      <c r="L124" s="306">
        <v>0.8</v>
      </c>
      <c r="M124" s="306">
        <v>2.4</v>
      </c>
      <c r="N124" s="306">
        <v>2.2999999999999998</v>
      </c>
      <c r="O124" s="306">
        <v>2.4</v>
      </c>
      <c r="P124" s="307">
        <v>5.2117661418283903E-2</v>
      </c>
      <c r="Q124" s="306">
        <v>0.2</v>
      </c>
      <c r="R124" s="306">
        <v>1.3</v>
      </c>
      <c r="S124" s="306">
        <v>3.8</v>
      </c>
      <c r="T124" s="307">
        <v>0.57611241217798592</v>
      </c>
      <c r="U124" s="306">
        <v>5</v>
      </c>
      <c r="V124" s="306">
        <v>4.4000000000000004</v>
      </c>
      <c r="W124" s="306">
        <v>1.7</v>
      </c>
      <c r="X124" s="307">
        <v>1.8735362997658078E-5</v>
      </c>
      <c r="Y124" s="306">
        <v>0.9</v>
      </c>
      <c r="Z124" s="306">
        <v>1.3</v>
      </c>
      <c r="AA124" s="306">
        <v>3.2</v>
      </c>
      <c r="AB124" s="306">
        <v>2.4</v>
      </c>
    </row>
    <row r="125" spans="1:28" x14ac:dyDescent="0.15">
      <c r="A125" s="306" t="s">
        <v>417</v>
      </c>
      <c r="B125" s="306">
        <v>0</v>
      </c>
      <c r="C125" s="306" t="s">
        <v>418</v>
      </c>
      <c r="D125" s="306" t="s">
        <v>419</v>
      </c>
      <c r="E125" s="306" t="s">
        <v>420</v>
      </c>
      <c r="F125" s="306">
        <v>5</v>
      </c>
      <c r="G125" s="307">
        <v>1.0017964627322173</v>
      </c>
      <c r="H125" s="306">
        <v>5</v>
      </c>
      <c r="I125" s="306">
        <v>5</v>
      </c>
      <c r="J125" s="306">
        <v>5</v>
      </c>
      <c r="K125" s="307">
        <v>1</v>
      </c>
      <c r="L125" s="306">
        <v>5</v>
      </c>
      <c r="M125" s="306">
        <v>5</v>
      </c>
      <c r="N125" s="306">
        <v>5</v>
      </c>
      <c r="O125" s="306">
        <v>2.7</v>
      </c>
      <c r="P125" s="307">
        <v>1.0251009020887939E-2</v>
      </c>
      <c r="Q125" s="306">
        <v>0</v>
      </c>
      <c r="R125" s="306">
        <v>1.35</v>
      </c>
      <c r="S125" s="306">
        <v>4.4000000000000004</v>
      </c>
      <c r="T125" s="307">
        <v>1</v>
      </c>
      <c r="U125" s="306">
        <v>5</v>
      </c>
      <c r="V125" s="306">
        <v>4.7</v>
      </c>
      <c r="W125" s="306">
        <v>3.9</v>
      </c>
      <c r="X125" s="307">
        <v>4.3529411764705884E-4</v>
      </c>
      <c r="Y125" s="306">
        <v>5</v>
      </c>
      <c r="Z125" s="306">
        <v>4.5</v>
      </c>
      <c r="AA125" s="306">
        <v>4.5999999999999996</v>
      </c>
      <c r="AB125" s="306">
        <v>3.4</v>
      </c>
    </row>
    <row r="126" spans="1:28" x14ac:dyDescent="0.15">
      <c r="A126" s="306" t="s">
        <v>421</v>
      </c>
      <c r="B126" s="306">
        <v>0</v>
      </c>
      <c r="C126" s="306" t="s">
        <v>422</v>
      </c>
      <c r="D126" s="306" t="s">
        <v>423</v>
      </c>
      <c r="E126" s="306" t="s">
        <v>424</v>
      </c>
      <c r="F126" s="306">
        <v>5</v>
      </c>
      <c r="G126" s="307">
        <v>0.99999993989976843</v>
      </c>
      <c r="H126" s="306">
        <v>5</v>
      </c>
      <c r="I126" s="306">
        <v>5</v>
      </c>
      <c r="J126" s="306">
        <v>5</v>
      </c>
      <c r="K126" s="307">
        <v>1</v>
      </c>
      <c r="L126" s="306">
        <v>5</v>
      </c>
      <c r="M126" s="306">
        <v>5</v>
      </c>
      <c r="N126" s="306">
        <v>5</v>
      </c>
      <c r="O126" s="306">
        <v>1.7</v>
      </c>
      <c r="P126" s="307">
        <v>2.6898674062535619E-3</v>
      </c>
      <c r="Q126" s="306">
        <v>0</v>
      </c>
      <c r="R126" s="306">
        <v>0.85</v>
      </c>
      <c r="S126" s="306">
        <v>3.6</v>
      </c>
      <c r="T126" s="307">
        <v>1</v>
      </c>
      <c r="U126" s="306">
        <v>5</v>
      </c>
      <c r="V126" s="306">
        <v>4.3</v>
      </c>
      <c r="W126" s="306">
        <v>3.2</v>
      </c>
      <c r="X126" s="307">
        <v>5.2824858757062143E-4</v>
      </c>
      <c r="Y126" s="306">
        <v>5</v>
      </c>
      <c r="Z126" s="306">
        <v>4.0999999999999996</v>
      </c>
      <c r="AA126" s="306">
        <v>4.2</v>
      </c>
      <c r="AB126" s="306">
        <v>2.9</v>
      </c>
    </row>
    <row r="127" spans="1:28" x14ac:dyDescent="0.15">
      <c r="A127" s="306" t="s">
        <v>425</v>
      </c>
      <c r="B127" s="306">
        <v>0</v>
      </c>
      <c r="C127" s="306" t="s">
        <v>426</v>
      </c>
      <c r="D127" s="306" t="s">
        <v>427</v>
      </c>
      <c r="E127" s="306" t="s">
        <v>428</v>
      </c>
      <c r="F127" s="306">
        <v>2.6</v>
      </c>
      <c r="G127" s="307">
        <v>4.7912728015941958E-2</v>
      </c>
      <c r="H127" s="306">
        <v>0.1</v>
      </c>
      <c r="I127" s="306">
        <v>1.35</v>
      </c>
      <c r="J127" s="306">
        <v>2.2999999999999998</v>
      </c>
      <c r="K127" s="307">
        <v>2.2018389081207419E-2</v>
      </c>
      <c r="L127" s="306">
        <v>0.1</v>
      </c>
      <c r="M127" s="306">
        <v>1.2</v>
      </c>
      <c r="N127" s="306">
        <v>1.3</v>
      </c>
      <c r="O127" s="306">
        <v>3.7</v>
      </c>
      <c r="P127" s="307">
        <v>1</v>
      </c>
      <c r="Q127" s="306">
        <v>5</v>
      </c>
      <c r="R127" s="306">
        <v>4.3499999999999996</v>
      </c>
      <c r="S127" s="306">
        <v>4.4000000000000004</v>
      </c>
      <c r="T127" s="307">
        <v>0.25856198678149411</v>
      </c>
      <c r="U127" s="306">
        <v>5</v>
      </c>
      <c r="V127" s="306">
        <v>4.7</v>
      </c>
      <c r="W127" s="306">
        <v>4</v>
      </c>
      <c r="X127" s="307">
        <v>1.2837973162427399E-4</v>
      </c>
      <c r="Y127" s="306">
        <v>5</v>
      </c>
      <c r="Z127" s="306">
        <v>4.5</v>
      </c>
      <c r="AA127" s="306">
        <v>4.5999999999999996</v>
      </c>
      <c r="AB127" s="306">
        <v>4.5</v>
      </c>
    </row>
    <row r="128" spans="1:28" x14ac:dyDescent="0.15">
      <c r="A128" s="306" t="s">
        <v>429</v>
      </c>
      <c r="B128" s="306">
        <v>0</v>
      </c>
      <c r="C128" s="306" t="s">
        <v>430</v>
      </c>
      <c r="D128" s="306" t="s">
        <v>431</v>
      </c>
      <c r="E128" s="306" t="s">
        <v>432</v>
      </c>
      <c r="F128" s="306">
        <v>5</v>
      </c>
      <c r="G128" s="307">
        <v>0.56019247986932252</v>
      </c>
      <c r="H128" s="306">
        <v>2.8</v>
      </c>
      <c r="I128" s="306">
        <v>3.9</v>
      </c>
      <c r="J128" s="306">
        <v>5</v>
      </c>
      <c r="K128" s="307">
        <v>0.49263445122513322</v>
      </c>
      <c r="L128" s="306">
        <v>2.4</v>
      </c>
      <c r="M128" s="306">
        <v>3.7</v>
      </c>
      <c r="N128" s="306">
        <v>3.8</v>
      </c>
      <c r="O128" s="306">
        <v>5</v>
      </c>
      <c r="P128" s="307">
        <v>0.7774076846307385</v>
      </c>
      <c r="Q128" s="306">
        <v>3.9</v>
      </c>
      <c r="R128" s="306">
        <v>4.45</v>
      </c>
      <c r="S128" s="306">
        <v>3.8</v>
      </c>
      <c r="T128" s="307">
        <v>6.7878748977004671E-3</v>
      </c>
      <c r="U128" s="306">
        <v>0.2</v>
      </c>
      <c r="V128" s="306">
        <v>2</v>
      </c>
      <c r="W128" s="306">
        <v>5</v>
      </c>
      <c r="X128" s="307">
        <v>5.0066594990131103E-5</v>
      </c>
      <c r="Y128" s="306">
        <v>2.5</v>
      </c>
      <c r="Z128" s="306">
        <v>3.8</v>
      </c>
      <c r="AA128" s="306">
        <v>3</v>
      </c>
      <c r="AB128" s="306">
        <v>3.8</v>
      </c>
    </row>
    <row r="129" spans="1:28" x14ac:dyDescent="0.15">
      <c r="A129" s="306" t="s">
        <v>433</v>
      </c>
      <c r="B129" s="306">
        <v>0</v>
      </c>
      <c r="C129" s="306" t="s">
        <v>434</v>
      </c>
      <c r="D129" s="306" t="s">
        <v>435</v>
      </c>
      <c r="E129" s="306" t="s">
        <v>436</v>
      </c>
      <c r="F129" s="306">
        <v>2.5</v>
      </c>
      <c r="G129" s="307">
        <v>0.29710223182145429</v>
      </c>
      <c r="H129" s="306">
        <v>1.4</v>
      </c>
      <c r="I129" s="306">
        <v>1.95</v>
      </c>
      <c r="J129" s="306">
        <v>1.6</v>
      </c>
      <c r="K129" s="307">
        <v>0.23348084846635128</v>
      </c>
      <c r="L129" s="306">
        <v>1.1000000000000001</v>
      </c>
      <c r="M129" s="306">
        <v>1.35</v>
      </c>
      <c r="N129" s="306">
        <v>1.7</v>
      </c>
      <c r="O129" s="306">
        <v>2</v>
      </c>
      <c r="P129" s="307">
        <v>0.16601307189542483</v>
      </c>
      <c r="Q129" s="306">
        <v>0.8</v>
      </c>
      <c r="R129" s="306">
        <v>1.4</v>
      </c>
      <c r="S129" s="306">
        <v>3.1</v>
      </c>
      <c r="T129" s="307">
        <v>0.27952755905511811</v>
      </c>
      <c r="U129" s="306">
        <v>5</v>
      </c>
      <c r="V129" s="306">
        <v>4.0999999999999996</v>
      </c>
      <c r="W129" s="306">
        <v>3.9</v>
      </c>
      <c r="X129" s="307">
        <v>1.1062992125984252E-3</v>
      </c>
      <c r="Y129" s="306">
        <v>5</v>
      </c>
      <c r="Z129" s="306">
        <v>4.5</v>
      </c>
      <c r="AA129" s="306">
        <v>4.3</v>
      </c>
      <c r="AB129" s="306">
        <v>3.2</v>
      </c>
    </row>
    <row r="130" spans="1:28" x14ac:dyDescent="0.15">
      <c r="A130" s="306" t="s">
        <v>437</v>
      </c>
      <c r="B130" s="306" t="s">
        <v>219</v>
      </c>
      <c r="C130" s="306" t="s">
        <v>438</v>
      </c>
      <c r="D130" s="306" t="s">
        <v>439</v>
      </c>
      <c r="E130" s="306" t="s">
        <v>440</v>
      </c>
      <c r="F130" s="306">
        <v>5</v>
      </c>
      <c r="G130" s="307">
        <v>0.8409577887593277</v>
      </c>
      <c r="H130" s="306">
        <v>4.2</v>
      </c>
      <c r="I130" s="306">
        <v>4.5999999999999996</v>
      </c>
      <c r="J130" s="306">
        <v>5</v>
      </c>
      <c r="K130" s="307">
        <v>0.53877809588819103</v>
      </c>
      <c r="L130" s="306">
        <v>2.7</v>
      </c>
      <c r="M130" s="306">
        <v>3.85</v>
      </c>
      <c r="N130" s="306">
        <v>4.3</v>
      </c>
      <c r="O130" s="306">
        <v>5</v>
      </c>
      <c r="P130" s="307">
        <v>0.56622278125655123</v>
      </c>
      <c r="Q130" s="306">
        <v>2.8</v>
      </c>
      <c r="R130" s="306">
        <v>3.9</v>
      </c>
      <c r="S130" s="306">
        <v>4.9000000000000004</v>
      </c>
      <c r="T130" s="307">
        <v>4.0146807894143779E-2</v>
      </c>
      <c r="U130" s="306">
        <v>1.3</v>
      </c>
      <c r="V130" s="306">
        <v>3.1</v>
      </c>
      <c r="W130" s="306">
        <v>3.2</v>
      </c>
      <c r="X130" s="307">
        <v>2.8009400856379384E-6</v>
      </c>
      <c r="Y130" s="306">
        <v>0.1</v>
      </c>
      <c r="Z130" s="306">
        <v>1.7</v>
      </c>
      <c r="AA130" s="306">
        <v>2.5</v>
      </c>
      <c r="AB130" s="306">
        <v>3.3</v>
      </c>
    </row>
    <row r="131" spans="1:28" x14ac:dyDescent="0.15">
      <c r="A131" s="306" t="s">
        <v>900</v>
      </c>
      <c r="B131" s="306" t="s">
        <v>158</v>
      </c>
      <c r="C131" s="306" t="s">
        <v>901</v>
      </c>
      <c r="D131" s="306" t="s">
        <v>582</v>
      </c>
      <c r="E131" s="306" t="s">
        <v>583</v>
      </c>
      <c r="F131" s="306">
        <v>3.7</v>
      </c>
      <c r="G131" s="307">
        <v>0.16299540524096259</v>
      </c>
      <c r="H131" s="306">
        <v>0.7</v>
      </c>
      <c r="I131" s="306">
        <v>2.2000000000000002</v>
      </c>
      <c r="J131" s="306">
        <v>4.8</v>
      </c>
      <c r="K131" s="307">
        <v>0.25199966400044799</v>
      </c>
      <c r="L131" s="306">
        <v>1.2</v>
      </c>
      <c r="M131" s="306">
        <v>3</v>
      </c>
      <c r="N131" s="306">
        <v>2.6</v>
      </c>
      <c r="O131" s="306">
        <v>4.5999999999999996</v>
      </c>
      <c r="P131" s="307">
        <v>0.66296296296296298</v>
      </c>
      <c r="Q131" s="306">
        <v>3.3</v>
      </c>
      <c r="R131" s="306">
        <v>3.9499999999999997</v>
      </c>
      <c r="S131" s="306">
        <v>5</v>
      </c>
      <c r="T131" s="307">
        <v>0.17446927374301677</v>
      </c>
      <c r="U131" s="306">
        <v>5</v>
      </c>
      <c r="V131" s="306">
        <v>5</v>
      </c>
      <c r="W131" s="306">
        <v>0</v>
      </c>
      <c r="X131" s="307">
        <v>0</v>
      </c>
      <c r="Y131" s="306">
        <v>0</v>
      </c>
      <c r="Z131" s="306">
        <v>0</v>
      </c>
      <c r="AA131" s="306">
        <v>3.5</v>
      </c>
      <c r="AB131" s="306">
        <v>3.7</v>
      </c>
    </row>
    <row r="132" spans="1:28" x14ac:dyDescent="0.15">
      <c r="A132" s="306" t="s">
        <v>902</v>
      </c>
      <c r="B132" s="306" t="s">
        <v>809</v>
      </c>
      <c r="C132" s="306" t="s">
        <v>441</v>
      </c>
      <c r="D132" s="306" t="s">
        <v>442</v>
      </c>
      <c r="E132" s="306" t="s">
        <v>443</v>
      </c>
      <c r="F132" s="306">
        <v>4</v>
      </c>
      <c r="G132" s="307">
        <v>1.036143949930459</v>
      </c>
      <c r="H132" s="306">
        <v>5</v>
      </c>
      <c r="I132" s="306">
        <v>4.5</v>
      </c>
      <c r="J132" s="306">
        <v>4.3</v>
      </c>
      <c r="K132" s="307">
        <v>1</v>
      </c>
      <c r="L132" s="306">
        <v>5</v>
      </c>
      <c r="M132" s="306">
        <v>4.6500000000000004</v>
      </c>
      <c r="N132" s="306">
        <v>4.5999999999999996</v>
      </c>
      <c r="O132" s="306">
        <v>0.6</v>
      </c>
      <c r="P132" s="307">
        <v>4.026354319180088E-3</v>
      </c>
      <c r="Q132" s="306">
        <v>0</v>
      </c>
      <c r="R132" s="306">
        <v>0.3</v>
      </c>
      <c r="S132" s="306">
        <v>2.7</v>
      </c>
      <c r="T132" s="307">
        <v>1</v>
      </c>
      <c r="U132" s="306">
        <v>5</v>
      </c>
      <c r="V132" s="306">
        <v>3.9</v>
      </c>
      <c r="W132" s="306">
        <v>0</v>
      </c>
      <c r="X132" s="307">
        <v>0</v>
      </c>
      <c r="Y132" s="306">
        <v>0</v>
      </c>
      <c r="Z132" s="306">
        <v>0</v>
      </c>
      <c r="AA132" s="306">
        <v>2.4</v>
      </c>
      <c r="AB132" s="306">
        <v>1.5</v>
      </c>
    </row>
    <row r="133" spans="1:28" x14ac:dyDescent="0.15">
      <c r="A133" s="306" t="s">
        <v>903</v>
      </c>
      <c r="B133" s="306" t="s">
        <v>809</v>
      </c>
      <c r="C133" s="306" t="s">
        <v>904</v>
      </c>
      <c r="D133" s="306" t="s">
        <v>584</v>
      </c>
      <c r="E133" s="306" t="s">
        <v>585</v>
      </c>
      <c r="F133" s="306">
        <v>5</v>
      </c>
      <c r="G133" s="307">
        <v>1</v>
      </c>
      <c r="H133" s="306">
        <v>5</v>
      </c>
      <c r="I133" s="306">
        <v>5</v>
      </c>
      <c r="J133" s="306">
        <v>5</v>
      </c>
      <c r="K133" s="307">
        <v>1</v>
      </c>
      <c r="L133" s="306">
        <v>5</v>
      </c>
      <c r="M133" s="306">
        <v>5</v>
      </c>
      <c r="N133" s="306">
        <v>5</v>
      </c>
      <c r="O133" s="306">
        <v>2.6</v>
      </c>
      <c r="P133" s="307">
        <v>8.3396356136129259E-3</v>
      </c>
      <c r="Q133" s="306">
        <v>0</v>
      </c>
      <c r="R133" s="306">
        <v>1.3</v>
      </c>
      <c r="S133" s="306">
        <v>4.4000000000000004</v>
      </c>
      <c r="T133" s="307">
        <v>1</v>
      </c>
      <c r="U133" s="306">
        <v>5</v>
      </c>
      <c r="V133" s="306">
        <v>4.7</v>
      </c>
      <c r="W133" s="306">
        <v>0</v>
      </c>
      <c r="X133" s="307">
        <v>0</v>
      </c>
      <c r="Y133" s="306">
        <v>0</v>
      </c>
      <c r="Z133" s="306">
        <v>0</v>
      </c>
      <c r="AA133" s="306">
        <v>3.1</v>
      </c>
      <c r="AB133" s="306">
        <v>2.2999999999999998</v>
      </c>
    </row>
    <row r="134" spans="1:28" x14ac:dyDescent="0.15">
      <c r="A134" s="306" t="s">
        <v>444</v>
      </c>
      <c r="B134" s="306" t="s">
        <v>824</v>
      </c>
      <c r="C134" s="306" t="s">
        <v>445</v>
      </c>
      <c r="D134" s="306" t="s">
        <v>446</v>
      </c>
      <c r="E134" s="306" t="s">
        <v>447</v>
      </c>
      <c r="F134" s="306">
        <v>2.2000000000000002</v>
      </c>
      <c r="G134" s="307">
        <v>0.83194162950952577</v>
      </c>
      <c r="H134" s="306">
        <v>4.0999999999999996</v>
      </c>
      <c r="I134" s="306">
        <v>3.15</v>
      </c>
      <c r="J134" s="306">
        <v>1.3</v>
      </c>
      <c r="K134" s="307">
        <v>0.17405435308761497</v>
      </c>
      <c r="L134" s="306">
        <v>0.8</v>
      </c>
      <c r="M134" s="306">
        <v>1.05</v>
      </c>
      <c r="N134" s="306">
        <v>2.2000000000000002</v>
      </c>
      <c r="O134" s="306">
        <v>1.1000000000000001</v>
      </c>
      <c r="P134" s="307">
        <v>5.3635280095351609E-2</v>
      </c>
      <c r="Q134" s="306">
        <v>0.2</v>
      </c>
      <c r="R134" s="306">
        <v>0.65</v>
      </c>
      <c r="S134" s="306">
        <v>3</v>
      </c>
      <c r="T134" s="307">
        <v>1</v>
      </c>
      <c r="U134" s="306">
        <v>5</v>
      </c>
      <c r="V134" s="306">
        <v>4</v>
      </c>
      <c r="W134" s="306" t="s">
        <v>246</v>
      </c>
      <c r="X134" s="307" t="s">
        <v>246</v>
      </c>
      <c r="Y134" s="306" t="s">
        <v>246</v>
      </c>
      <c r="Z134" s="306" t="s">
        <v>246</v>
      </c>
      <c r="AA134" s="306">
        <v>4</v>
      </c>
      <c r="AB134" s="306">
        <v>2.7</v>
      </c>
    </row>
    <row r="135" spans="1:28" x14ac:dyDescent="0.15">
      <c r="A135" s="306" t="s">
        <v>448</v>
      </c>
      <c r="B135" s="306" t="s">
        <v>905</v>
      </c>
      <c r="C135" s="306" t="s">
        <v>449</v>
      </c>
      <c r="D135" s="306" t="s">
        <v>53</v>
      </c>
      <c r="E135" s="306" t="s">
        <v>54</v>
      </c>
      <c r="F135" s="306">
        <v>5</v>
      </c>
      <c r="G135" s="307">
        <v>0.98537847965738756</v>
      </c>
      <c r="H135" s="306">
        <v>4.9000000000000004</v>
      </c>
      <c r="I135" s="306">
        <v>4.95</v>
      </c>
      <c r="J135" s="306">
        <v>5</v>
      </c>
      <c r="K135" s="307">
        <v>1</v>
      </c>
      <c r="L135" s="306">
        <v>5</v>
      </c>
      <c r="M135" s="306">
        <v>5</v>
      </c>
      <c r="N135" s="306">
        <v>5</v>
      </c>
      <c r="O135" s="306">
        <v>5</v>
      </c>
      <c r="P135" s="307">
        <v>1</v>
      </c>
      <c r="Q135" s="306">
        <v>5</v>
      </c>
      <c r="R135" s="306">
        <v>5</v>
      </c>
      <c r="S135" s="306">
        <v>5</v>
      </c>
      <c r="T135" s="307">
        <v>0.23493975903614459</v>
      </c>
      <c r="U135" s="306">
        <v>5</v>
      </c>
      <c r="V135" s="306">
        <v>5</v>
      </c>
      <c r="W135" s="306">
        <v>5</v>
      </c>
      <c r="X135" s="307">
        <v>1.2843373493975904E-4</v>
      </c>
      <c r="Y135" s="306">
        <v>5</v>
      </c>
      <c r="Z135" s="306">
        <v>5</v>
      </c>
      <c r="AA135" s="306">
        <v>5</v>
      </c>
      <c r="AB135" s="306">
        <v>5</v>
      </c>
    </row>
    <row r="136" spans="1:28" x14ac:dyDescent="0.15">
      <c r="A136" s="306" t="s">
        <v>450</v>
      </c>
      <c r="B136" s="306" t="s">
        <v>824</v>
      </c>
      <c r="C136" s="306" t="s">
        <v>451</v>
      </c>
      <c r="D136" s="306" t="s">
        <v>53</v>
      </c>
      <c r="E136" s="306" t="s">
        <v>54</v>
      </c>
      <c r="F136" s="306">
        <v>3.3</v>
      </c>
      <c r="G136" s="307">
        <v>4.7785331905781582E-2</v>
      </c>
      <c r="H136" s="306">
        <v>0.1</v>
      </c>
      <c r="I136" s="306">
        <v>1.7</v>
      </c>
      <c r="J136" s="306">
        <v>3.9</v>
      </c>
      <c r="K136" s="307">
        <v>0.29658634538152612</v>
      </c>
      <c r="L136" s="306">
        <v>1.4</v>
      </c>
      <c r="M136" s="306">
        <v>2.65</v>
      </c>
      <c r="N136" s="306">
        <v>2.2000000000000002</v>
      </c>
      <c r="O136" s="306">
        <v>4.4000000000000004</v>
      </c>
      <c r="P136" s="307">
        <v>1</v>
      </c>
      <c r="Q136" s="306">
        <v>5</v>
      </c>
      <c r="R136" s="306">
        <v>4.7</v>
      </c>
      <c r="S136" s="306">
        <v>4.3</v>
      </c>
      <c r="T136" s="307">
        <v>6.5132024373730529E-2</v>
      </c>
      <c r="U136" s="306">
        <v>2.2000000000000002</v>
      </c>
      <c r="V136" s="306">
        <v>3.3</v>
      </c>
      <c r="W136" s="306">
        <v>1.5</v>
      </c>
      <c r="X136" s="307">
        <v>8.1245768449559916E-7</v>
      </c>
      <c r="Y136" s="306">
        <v>0</v>
      </c>
      <c r="Z136" s="306">
        <v>0.8</v>
      </c>
      <c r="AA136" s="306">
        <v>2.2000000000000002</v>
      </c>
      <c r="AB136" s="306">
        <v>3.7</v>
      </c>
    </row>
    <row r="137" spans="1:28" x14ac:dyDescent="0.15">
      <c r="A137" s="306" t="s">
        <v>452</v>
      </c>
      <c r="B137" s="306" t="s">
        <v>219</v>
      </c>
      <c r="C137" s="306" t="s">
        <v>453</v>
      </c>
      <c r="D137" s="306" t="s">
        <v>454</v>
      </c>
      <c r="E137" s="306" t="s">
        <v>455</v>
      </c>
      <c r="F137" s="306">
        <v>3.8</v>
      </c>
      <c r="G137" s="307">
        <v>1.0217109021970603</v>
      </c>
      <c r="H137" s="306">
        <v>5</v>
      </c>
      <c r="I137" s="306">
        <v>4.4000000000000004</v>
      </c>
      <c r="J137" s="306">
        <v>4.2</v>
      </c>
      <c r="K137" s="307">
        <v>1</v>
      </c>
      <c r="L137" s="306">
        <v>5</v>
      </c>
      <c r="M137" s="306">
        <v>4.5999999999999996</v>
      </c>
      <c r="N137" s="306">
        <v>4.5</v>
      </c>
      <c r="O137" s="306">
        <v>3.3</v>
      </c>
      <c r="P137" s="307">
        <v>0.16753549245785271</v>
      </c>
      <c r="Q137" s="306">
        <v>0.8</v>
      </c>
      <c r="R137" s="306">
        <v>2.0499999999999998</v>
      </c>
      <c r="S137" s="306">
        <v>0.9</v>
      </c>
      <c r="T137" s="307">
        <v>1.3240648791790798E-3</v>
      </c>
      <c r="U137" s="306">
        <v>0</v>
      </c>
      <c r="V137" s="306">
        <v>0.5</v>
      </c>
      <c r="W137" s="306">
        <v>1.7</v>
      </c>
      <c r="X137" s="307">
        <v>4.9652432969215488E-6</v>
      </c>
      <c r="Y137" s="306">
        <v>0.2</v>
      </c>
      <c r="Z137" s="306">
        <v>1</v>
      </c>
      <c r="AA137" s="306">
        <v>0.8</v>
      </c>
      <c r="AB137" s="306">
        <v>1.5</v>
      </c>
    </row>
    <row r="138" spans="1:28" x14ac:dyDescent="0.15">
      <c r="A138" s="306" t="s">
        <v>456</v>
      </c>
      <c r="B138" s="306" t="s">
        <v>906</v>
      </c>
      <c r="C138" s="306" t="s">
        <v>457</v>
      </c>
      <c r="D138" s="306" t="s">
        <v>114</v>
      </c>
      <c r="E138" s="306" t="s">
        <v>115</v>
      </c>
      <c r="F138" s="306">
        <v>2.2000000000000002</v>
      </c>
      <c r="G138" s="307">
        <v>1</v>
      </c>
      <c r="H138" s="306">
        <v>5</v>
      </c>
      <c r="I138" s="306">
        <v>3.6</v>
      </c>
      <c r="J138" s="306">
        <v>2.7</v>
      </c>
      <c r="K138" s="307">
        <v>1</v>
      </c>
      <c r="L138" s="306">
        <v>5</v>
      </c>
      <c r="M138" s="306">
        <v>3.85</v>
      </c>
      <c r="N138" s="306">
        <v>3.7</v>
      </c>
      <c r="O138" s="306">
        <v>2.6</v>
      </c>
      <c r="P138" s="307">
        <v>0.17698412698412699</v>
      </c>
      <c r="Q138" s="306">
        <v>0.8</v>
      </c>
      <c r="R138" s="306">
        <v>1.7000000000000002</v>
      </c>
      <c r="S138" s="306">
        <v>2.7</v>
      </c>
      <c r="T138" s="307">
        <v>6.5470852017937217E-2</v>
      </c>
      <c r="U138" s="306">
        <v>2.2000000000000002</v>
      </c>
      <c r="V138" s="306">
        <v>2.5</v>
      </c>
      <c r="W138" s="306">
        <v>2</v>
      </c>
      <c r="X138" s="307">
        <v>2.1524663677130043E-5</v>
      </c>
      <c r="Y138" s="306">
        <v>1.1000000000000001</v>
      </c>
      <c r="Z138" s="306">
        <v>1.6</v>
      </c>
      <c r="AA138" s="306">
        <v>2.1</v>
      </c>
      <c r="AB138" s="306">
        <v>1.9</v>
      </c>
    </row>
    <row r="139" spans="1:28" x14ac:dyDescent="0.15">
      <c r="A139" s="306" t="s">
        <v>458</v>
      </c>
      <c r="B139" s="306" t="s">
        <v>907</v>
      </c>
      <c r="C139" s="306" t="s">
        <v>459</v>
      </c>
      <c r="D139" s="306" t="s">
        <v>57</v>
      </c>
      <c r="E139" s="306" t="s">
        <v>58</v>
      </c>
      <c r="F139" s="306">
        <v>4.7</v>
      </c>
      <c r="G139" s="307">
        <v>1</v>
      </c>
      <c r="H139" s="306">
        <v>5</v>
      </c>
      <c r="I139" s="306">
        <v>4.8499999999999996</v>
      </c>
      <c r="J139" s="306">
        <v>4.0999999999999996</v>
      </c>
      <c r="K139" s="307">
        <v>1</v>
      </c>
      <c r="L139" s="306">
        <v>5</v>
      </c>
      <c r="M139" s="306">
        <v>4.55</v>
      </c>
      <c r="N139" s="306">
        <v>4.7</v>
      </c>
      <c r="O139" s="306">
        <v>4.5</v>
      </c>
      <c r="P139" s="307">
        <v>1</v>
      </c>
      <c r="Q139" s="306">
        <v>5</v>
      </c>
      <c r="R139" s="306">
        <v>4.75</v>
      </c>
      <c r="S139" s="306">
        <v>5</v>
      </c>
      <c r="T139" s="307">
        <v>0.45952662721893489</v>
      </c>
      <c r="U139" s="306">
        <v>5</v>
      </c>
      <c r="V139" s="306">
        <v>5</v>
      </c>
      <c r="W139" s="306">
        <v>5</v>
      </c>
      <c r="X139" s="307">
        <v>2.509467455621302E-4</v>
      </c>
      <c r="Y139" s="306">
        <v>5</v>
      </c>
      <c r="Z139" s="306">
        <v>5</v>
      </c>
      <c r="AA139" s="306">
        <v>5</v>
      </c>
      <c r="AB139" s="306">
        <v>4.9000000000000004</v>
      </c>
    </row>
    <row r="140" spans="1:28" x14ac:dyDescent="0.15">
      <c r="A140" s="306" t="s">
        <v>460</v>
      </c>
      <c r="B140" s="306" t="s">
        <v>824</v>
      </c>
      <c r="C140" s="306" t="s">
        <v>461</v>
      </c>
      <c r="D140" s="306" t="s">
        <v>57</v>
      </c>
      <c r="E140" s="306" t="s">
        <v>58</v>
      </c>
      <c r="F140" s="306">
        <v>3.3</v>
      </c>
      <c r="G140" s="307">
        <v>0.157688016067842</v>
      </c>
      <c r="H140" s="306">
        <v>0.7</v>
      </c>
      <c r="I140" s="306">
        <v>2</v>
      </c>
      <c r="J140" s="306">
        <v>1.4</v>
      </c>
      <c r="K140" s="307">
        <v>0.15940828402366863</v>
      </c>
      <c r="L140" s="306">
        <v>0.8</v>
      </c>
      <c r="M140" s="306">
        <v>1.1000000000000001</v>
      </c>
      <c r="N140" s="306">
        <v>1.6</v>
      </c>
      <c r="O140" s="306">
        <v>0.1</v>
      </c>
      <c r="P140" s="307">
        <v>1.4105419450631032E-2</v>
      </c>
      <c r="Q140" s="306">
        <v>0</v>
      </c>
      <c r="R140" s="306">
        <v>0.05</v>
      </c>
      <c r="S140" s="306">
        <v>2.2999999999999998</v>
      </c>
      <c r="T140" s="307">
        <v>1</v>
      </c>
      <c r="U140" s="306">
        <v>5</v>
      </c>
      <c r="V140" s="306">
        <v>3.7</v>
      </c>
      <c r="W140" s="306">
        <v>1.4</v>
      </c>
      <c r="X140" s="307">
        <v>2.3684210526315788E-4</v>
      </c>
      <c r="Y140" s="306">
        <v>5</v>
      </c>
      <c r="Z140" s="306">
        <v>3.2</v>
      </c>
      <c r="AA140" s="306">
        <v>3.5</v>
      </c>
      <c r="AB140" s="306">
        <v>2.1</v>
      </c>
    </row>
    <row r="141" spans="1:28" x14ac:dyDescent="0.15">
      <c r="A141" s="306" t="s">
        <v>462</v>
      </c>
      <c r="B141" s="306" t="s">
        <v>908</v>
      </c>
      <c r="C141" s="306" t="s">
        <v>463</v>
      </c>
      <c r="D141" s="306" t="s">
        <v>59</v>
      </c>
      <c r="E141" s="306" t="s">
        <v>60</v>
      </c>
      <c r="F141" s="306">
        <v>4.7</v>
      </c>
      <c r="G141" s="307">
        <v>1.0196208440808316</v>
      </c>
      <c r="H141" s="306">
        <v>5</v>
      </c>
      <c r="I141" s="306">
        <v>4.8499999999999996</v>
      </c>
      <c r="J141" s="306">
        <v>3.7</v>
      </c>
      <c r="K141" s="307">
        <v>1</v>
      </c>
      <c r="L141" s="306">
        <v>5</v>
      </c>
      <c r="M141" s="306">
        <v>4.3499999999999996</v>
      </c>
      <c r="N141" s="306">
        <v>4.5999999999999996</v>
      </c>
      <c r="O141" s="306">
        <v>4.3</v>
      </c>
      <c r="P141" s="307">
        <v>1</v>
      </c>
      <c r="Q141" s="306">
        <v>5</v>
      </c>
      <c r="R141" s="306">
        <v>4.6500000000000004</v>
      </c>
      <c r="S141" s="306">
        <v>5</v>
      </c>
      <c r="T141" s="307">
        <v>0.54989434139469362</v>
      </c>
      <c r="U141" s="306">
        <v>5</v>
      </c>
      <c r="V141" s="306">
        <v>5</v>
      </c>
      <c r="W141" s="306">
        <v>3.8</v>
      </c>
      <c r="X141" s="307">
        <v>3.3419425530249668E-5</v>
      </c>
      <c r="Y141" s="306">
        <v>1.7</v>
      </c>
      <c r="Z141" s="306">
        <v>2.8</v>
      </c>
      <c r="AA141" s="306">
        <v>4.2</v>
      </c>
      <c r="AB141" s="306">
        <v>4.4000000000000004</v>
      </c>
    </row>
    <row r="142" spans="1:28" x14ac:dyDescent="0.15">
      <c r="A142" s="306" t="s">
        <v>909</v>
      </c>
      <c r="B142" s="306" t="s">
        <v>821</v>
      </c>
      <c r="C142" s="306" t="s">
        <v>464</v>
      </c>
      <c r="D142" s="306" t="s">
        <v>465</v>
      </c>
      <c r="E142" s="306" t="s">
        <v>466</v>
      </c>
      <c r="F142" s="306">
        <v>2.8</v>
      </c>
      <c r="G142" s="307">
        <v>1</v>
      </c>
      <c r="H142" s="306">
        <v>5</v>
      </c>
      <c r="I142" s="306">
        <v>3.9</v>
      </c>
      <c r="J142" s="306">
        <v>2.5</v>
      </c>
      <c r="K142" s="307">
        <v>1</v>
      </c>
      <c r="L142" s="306">
        <v>5</v>
      </c>
      <c r="M142" s="306">
        <v>3.75</v>
      </c>
      <c r="N142" s="306">
        <v>3.8</v>
      </c>
      <c r="O142" s="306">
        <v>0.9</v>
      </c>
      <c r="P142" s="307">
        <v>2.1084880158587133E-2</v>
      </c>
      <c r="Q142" s="306">
        <v>0.1</v>
      </c>
      <c r="R142" s="306">
        <v>0.5</v>
      </c>
      <c r="S142" s="306">
        <v>3</v>
      </c>
      <c r="T142" s="307">
        <v>1</v>
      </c>
      <c r="U142" s="306">
        <v>5</v>
      </c>
      <c r="V142" s="306">
        <v>4</v>
      </c>
      <c r="W142" s="306">
        <v>0</v>
      </c>
      <c r="X142" s="306">
        <v>0</v>
      </c>
      <c r="Y142" s="306">
        <v>0</v>
      </c>
      <c r="Z142" s="306">
        <v>0</v>
      </c>
      <c r="AA142" s="306">
        <v>2.5</v>
      </c>
      <c r="AB142" s="306">
        <v>1.6</v>
      </c>
    </row>
    <row r="143" spans="1:28" x14ac:dyDescent="0.15">
      <c r="A143" s="306" t="s">
        <v>467</v>
      </c>
      <c r="B143" s="306" t="s">
        <v>219</v>
      </c>
      <c r="C143" s="306" t="s">
        <v>468</v>
      </c>
      <c r="D143" s="306" t="s">
        <v>469</v>
      </c>
      <c r="E143" s="306" t="s">
        <v>470</v>
      </c>
      <c r="F143" s="306">
        <v>2.1</v>
      </c>
      <c r="G143" s="307">
        <v>1</v>
      </c>
      <c r="H143" s="306">
        <v>5</v>
      </c>
      <c r="I143" s="306">
        <v>3.55</v>
      </c>
      <c r="J143" s="306">
        <v>0.2</v>
      </c>
      <c r="K143" s="307">
        <v>0.97456931911402789</v>
      </c>
      <c r="L143" s="306">
        <v>4.9000000000000004</v>
      </c>
      <c r="M143" s="306">
        <v>2.5500000000000003</v>
      </c>
      <c r="N143" s="306">
        <v>3.1</v>
      </c>
      <c r="O143" s="306">
        <v>2.2999999999999998</v>
      </c>
      <c r="P143" s="307">
        <v>0.60101010101010099</v>
      </c>
      <c r="Q143" s="306">
        <v>3</v>
      </c>
      <c r="R143" s="306">
        <v>2.65</v>
      </c>
      <c r="S143" s="306" t="s">
        <v>246</v>
      </c>
      <c r="T143" s="307" t="s">
        <v>246</v>
      </c>
      <c r="U143" s="306" t="s">
        <v>246</v>
      </c>
      <c r="V143" s="306" t="s">
        <v>246</v>
      </c>
      <c r="W143" s="306">
        <v>0</v>
      </c>
      <c r="X143" s="307">
        <v>0</v>
      </c>
      <c r="Y143" s="306">
        <v>0</v>
      </c>
      <c r="Z143" s="306">
        <v>0</v>
      </c>
      <c r="AA143" s="306">
        <v>0</v>
      </c>
      <c r="AB143" s="306">
        <v>1.5</v>
      </c>
    </row>
    <row r="144" spans="1:28" x14ac:dyDescent="0.15">
      <c r="A144" s="306" t="s">
        <v>471</v>
      </c>
      <c r="B144" s="306" t="s">
        <v>811</v>
      </c>
      <c r="C144" s="306" t="s">
        <v>472</v>
      </c>
      <c r="D144" s="306" t="s">
        <v>55</v>
      </c>
      <c r="E144" s="306" t="s">
        <v>56</v>
      </c>
      <c r="F144" s="306">
        <v>3.8</v>
      </c>
      <c r="G144" s="307">
        <v>1.008440886565376</v>
      </c>
      <c r="H144" s="306">
        <v>5</v>
      </c>
      <c r="I144" s="306">
        <v>4.4000000000000004</v>
      </c>
      <c r="J144" s="306">
        <v>4.5999999999999996</v>
      </c>
      <c r="K144" s="307">
        <v>1</v>
      </c>
      <c r="L144" s="306">
        <v>5</v>
      </c>
      <c r="M144" s="306">
        <v>4.8</v>
      </c>
      <c r="N144" s="306">
        <v>4.5999999999999996</v>
      </c>
      <c r="O144" s="306">
        <v>4.8</v>
      </c>
      <c r="P144" s="307">
        <v>1</v>
      </c>
      <c r="Q144" s="306">
        <v>5</v>
      </c>
      <c r="R144" s="306">
        <v>4.9000000000000004</v>
      </c>
      <c r="S144" s="306">
        <v>5</v>
      </c>
      <c r="T144" s="307">
        <v>0.65021312872975279</v>
      </c>
      <c r="U144" s="306">
        <v>5</v>
      </c>
      <c r="V144" s="306">
        <v>5</v>
      </c>
      <c r="W144" s="306">
        <v>4.5999999999999996</v>
      </c>
      <c r="X144" s="307">
        <v>7.6427962489343561E-5</v>
      </c>
      <c r="Y144" s="306">
        <v>3.8</v>
      </c>
      <c r="Z144" s="306">
        <v>4.2</v>
      </c>
      <c r="AA144" s="306">
        <v>4.5999999999999996</v>
      </c>
      <c r="AB144" s="306">
        <v>4.8</v>
      </c>
    </row>
    <row r="145" spans="1:28" x14ac:dyDescent="0.15">
      <c r="A145" s="306" t="s">
        <v>910</v>
      </c>
      <c r="B145" s="306" t="s">
        <v>158</v>
      </c>
      <c r="C145" s="306" t="s">
        <v>911</v>
      </c>
      <c r="D145" s="306" t="s">
        <v>55</v>
      </c>
      <c r="E145" s="306" t="s">
        <v>56</v>
      </c>
      <c r="F145" s="306">
        <v>2.9</v>
      </c>
      <c r="G145" s="307">
        <v>0.31195883025649401</v>
      </c>
      <c r="H145" s="306">
        <v>1.5</v>
      </c>
      <c r="I145" s="306">
        <v>2.2000000000000002</v>
      </c>
      <c r="J145" s="306">
        <v>3.8</v>
      </c>
      <c r="K145" s="307">
        <v>0.578772378516624</v>
      </c>
      <c r="L145" s="306">
        <v>2.9</v>
      </c>
      <c r="M145" s="306">
        <v>3.3499999999999996</v>
      </c>
      <c r="N145" s="306">
        <v>2.8</v>
      </c>
      <c r="O145" s="306">
        <v>4.0999999999999996</v>
      </c>
      <c r="P145" s="307">
        <v>0.64810723228752398</v>
      </c>
      <c r="Q145" s="306">
        <v>3.2</v>
      </c>
      <c r="R145" s="306">
        <v>3.65</v>
      </c>
      <c r="S145" s="306">
        <v>4.9000000000000004</v>
      </c>
      <c r="T145" s="307">
        <v>0.30681818181818182</v>
      </c>
      <c r="U145" s="306">
        <v>5</v>
      </c>
      <c r="V145" s="306">
        <v>5</v>
      </c>
      <c r="W145" s="306">
        <v>0</v>
      </c>
      <c r="X145" s="307">
        <v>0</v>
      </c>
      <c r="Y145" s="306">
        <v>0</v>
      </c>
      <c r="Z145" s="306">
        <v>0</v>
      </c>
      <c r="AA145" s="306">
        <v>3.5</v>
      </c>
      <c r="AB145" s="306">
        <v>3.6</v>
      </c>
    </row>
    <row r="146" spans="1:28" x14ac:dyDescent="0.15">
      <c r="A146" s="306" t="s">
        <v>473</v>
      </c>
      <c r="B146" s="306" t="s">
        <v>809</v>
      </c>
      <c r="C146" s="306" t="s">
        <v>474</v>
      </c>
      <c r="D146" s="306" t="s">
        <v>67</v>
      </c>
      <c r="E146" s="306" t="s">
        <v>68</v>
      </c>
      <c r="F146" s="306">
        <v>5</v>
      </c>
      <c r="G146" s="307">
        <v>1.0196950444726811</v>
      </c>
      <c r="H146" s="306">
        <v>5</v>
      </c>
      <c r="I146" s="306">
        <v>5</v>
      </c>
      <c r="J146" s="306">
        <v>4.2</v>
      </c>
      <c r="K146" s="307">
        <v>1</v>
      </c>
      <c r="L146" s="306">
        <v>5</v>
      </c>
      <c r="M146" s="306">
        <v>4.5999999999999996</v>
      </c>
      <c r="N146" s="306">
        <v>4.8</v>
      </c>
      <c r="O146" s="306">
        <v>3.7</v>
      </c>
      <c r="P146" s="307">
        <v>0.2937028533945556</v>
      </c>
      <c r="Q146" s="306">
        <v>1.4</v>
      </c>
      <c r="R146" s="306">
        <v>2.5499999999999998</v>
      </c>
      <c r="S146" s="306">
        <v>4.5999999999999996</v>
      </c>
      <c r="T146" s="307">
        <v>0.29313232830820768</v>
      </c>
      <c r="U146" s="306">
        <v>5</v>
      </c>
      <c r="V146" s="306">
        <v>4.8</v>
      </c>
      <c r="W146" s="306">
        <v>2.2000000000000002</v>
      </c>
      <c r="X146" s="307">
        <v>5.9557044481667601E-6</v>
      </c>
      <c r="Y146" s="306">
        <v>0.3</v>
      </c>
      <c r="Z146" s="306">
        <v>1.3</v>
      </c>
      <c r="AA146" s="306">
        <v>3.6</v>
      </c>
      <c r="AB146" s="306">
        <v>3.1</v>
      </c>
    </row>
    <row r="147" spans="1:28" x14ac:dyDescent="0.15">
      <c r="A147" s="306" t="s">
        <v>912</v>
      </c>
      <c r="B147" s="306" t="s">
        <v>165</v>
      </c>
      <c r="C147" s="306" t="s">
        <v>475</v>
      </c>
      <c r="D147" s="306" t="s">
        <v>67</v>
      </c>
      <c r="E147" s="306" t="s">
        <v>68</v>
      </c>
      <c r="F147" s="306">
        <v>2.2000000000000002</v>
      </c>
      <c r="G147" s="307">
        <v>1.7725540025412961E-2</v>
      </c>
      <c r="H147" s="306">
        <v>0</v>
      </c>
      <c r="I147" s="306">
        <v>1.1000000000000001</v>
      </c>
      <c r="J147" s="306">
        <v>0</v>
      </c>
      <c r="K147" s="307">
        <v>4.9633759702634742E-2</v>
      </c>
      <c r="L147" s="306">
        <v>0.2</v>
      </c>
      <c r="M147" s="306">
        <v>0.1</v>
      </c>
      <c r="N147" s="306">
        <v>0.6</v>
      </c>
      <c r="O147" s="306">
        <v>2.2999999999999998</v>
      </c>
      <c r="P147" s="307">
        <v>0.84911894273127753</v>
      </c>
      <c r="Q147" s="306">
        <v>4.2</v>
      </c>
      <c r="R147" s="306">
        <v>3.25</v>
      </c>
      <c r="S147" s="306">
        <v>3.4</v>
      </c>
      <c r="T147" s="307">
        <v>0.33722438391699094</v>
      </c>
      <c r="U147" s="306">
        <v>5</v>
      </c>
      <c r="V147" s="306">
        <v>4.2</v>
      </c>
      <c r="W147" s="306">
        <v>1.5</v>
      </c>
      <c r="X147" s="307">
        <v>1.5564202334630349E-5</v>
      </c>
      <c r="Y147" s="306">
        <v>0.8</v>
      </c>
      <c r="Z147" s="306">
        <v>1.2</v>
      </c>
      <c r="AA147" s="306">
        <v>3</v>
      </c>
      <c r="AB147" s="306">
        <v>3.1</v>
      </c>
    </row>
    <row r="148" spans="1:28" x14ac:dyDescent="0.15">
      <c r="A148" s="306" t="s">
        <v>476</v>
      </c>
      <c r="B148" s="306" t="s">
        <v>824</v>
      </c>
      <c r="C148" s="306" t="s">
        <v>477</v>
      </c>
      <c r="D148" s="306" t="s">
        <v>67</v>
      </c>
      <c r="E148" s="306" t="s">
        <v>68</v>
      </c>
      <c r="F148" s="306">
        <v>3.6</v>
      </c>
      <c r="G148" s="307">
        <v>0.11814247141041931</v>
      </c>
      <c r="H148" s="306">
        <v>0.5</v>
      </c>
      <c r="I148" s="306">
        <v>2.0499999999999998</v>
      </c>
      <c r="J148" s="306">
        <v>1.8</v>
      </c>
      <c r="K148" s="307">
        <v>0.18853175904668198</v>
      </c>
      <c r="L148" s="306">
        <v>0.9</v>
      </c>
      <c r="M148" s="306">
        <v>1.35</v>
      </c>
      <c r="N148" s="306">
        <v>1.7</v>
      </c>
      <c r="O148" s="306">
        <v>2.7</v>
      </c>
      <c r="P148" s="307">
        <v>0.36561322122354306</v>
      </c>
      <c r="Q148" s="306">
        <v>1.8</v>
      </c>
      <c r="R148" s="306">
        <v>2.25</v>
      </c>
      <c r="S148" s="306">
        <v>3.3</v>
      </c>
      <c r="T148" s="307">
        <v>0.1633624107850912</v>
      </c>
      <c r="U148" s="306">
        <v>5</v>
      </c>
      <c r="V148" s="306">
        <v>4.2</v>
      </c>
      <c r="W148" s="306">
        <v>1.6</v>
      </c>
      <c r="X148" s="307">
        <v>1.0309278350515464E-5</v>
      </c>
      <c r="Y148" s="306">
        <v>0.5</v>
      </c>
      <c r="Z148" s="306">
        <v>1.1000000000000001</v>
      </c>
      <c r="AA148" s="306">
        <v>3</v>
      </c>
      <c r="AB148" s="306">
        <v>2.6</v>
      </c>
    </row>
    <row r="149" spans="1:28" x14ac:dyDescent="0.15">
      <c r="A149" s="306" t="s">
        <v>478</v>
      </c>
      <c r="B149" s="306" t="s">
        <v>824</v>
      </c>
      <c r="C149" s="306" t="s">
        <v>479</v>
      </c>
      <c r="D149" s="306" t="s">
        <v>67</v>
      </c>
      <c r="E149" s="306" t="s">
        <v>68</v>
      </c>
      <c r="F149" s="306">
        <v>4.3</v>
      </c>
      <c r="G149" s="307">
        <v>0.29709021601016516</v>
      </c>
      <c r="H149" s="306">
        <v>1.4</v>
      </c>
      <c r="I149" s="306">
        <v>2.8499999999999996</v>
      </c>
      <c r="J149" s="306">
        <v>1.3</v>
      </c>
      <c r="K149" s="307">
        <v>0.13714879195364602</v>
      </c>
      <c r="L149" s="306">
        <v>0.6</v>
      </c>
      <c r="M149" s="306">
        <v>0.95</v>
      </c>
      <c r="N149" s="306">
        <v>2</v>
      </c>
      <c r="O149" s="306">
        <v>2.8</v>
      </c>
      <c r="P149" s="307">
        <v>0.5715424471901156</v>
      </c>
      <c r="Q149" s="306">
        <v>2.8</v>
      </c>
      <c r="R149" s="306">
        <v>2.8</v>
      </c>
      <c r="S149" s="306">
        <v>4.3</v>
      </c>
      <c r="T149" s="307">
        <v>0.77336122733612278</v>
      </c>
      <c r="U149" s="306">
        <v>5</v>
      </c>
      <c r="V149" s="306">
        <v>4.7</v>
      </c>
      <c r="W149" s="306">
        <v>1.2</v>
      </c>
      <c r="X149" s="307">
        <v>4.881450488145049E-6</v>
      </c>
      <c r="Y149" s="306">
        <v>0.2</v>
      </c>
      <c r="Z149" s="306">
        <v>0.7</v>
      </c>
      <c r="AA149" s="306">
        <v>3.3</v>
      </c>
      <c r="AB149" s="306">
        <v>3.1</v>
      </c>
    </row>
    <row r="150" spans="1:28" x14ac:dyDescent="0.15">
      <c r="A150" s="306" t="s">
        <v>482</v>
      </c>
      <c r="B150" s="306" t="s">
        <v>165</v>
      </c>
      <c r="C150" s="306" t="s">
        <v>483</v>
      </c>
      <c r="D150" s="306" t="s">
        <v>480</v>
      </c>
      <c r="E150" s="306" t="s">
        <v>481</v>
      </c>
      <c r="F150" s="306">
        <v>1.8</v>
      </c>
      <c r="G150" s="307">
        <v>2.3511910587406291E-2</v>
      </c>
      <c r="H150" s="306">
        <v>0</v>
      </c>
      <c r="I150" s="306">
        <v>0.9</v>
      </c>
      <c r="J150" s="306">
        <v>0</v>
      </c>
      <c r="K150" s="307">
        <v>5.353955978584176E-3</v>
      </c>
      <c r="L150" s="306">
        <v>0</v>
      </c>
      <c r="M150" s="306">
        <v>0</v>
      </c>
      <c r="N150" s="306">
        <v>0.5</v>
      </c>
      <c r="O150" s="306">
        <v>0.8</v>
      </c>
      <c r="P150" s="307">
        <v>0.26608187134502925</v>
      </c>
      <c r="Q150" s="306">
        <v>1.3</v>
      </c>
      <c r="R150" s="306">
        <v>1.05</v>
      </c>
      <c r="S150" s="306">
        <v>2.8</v>
      </c>
      <c r="T150" s="307">
        <v>1</v>
      </c>
      <c r="U150" s="306">
        <v>5</v>
      </c>
      <c r="V150" s="306">
        <v>3.9</v>
      </c>
      <c r="W150" s="306">
        <v>0</v>
      </c>
      <c r="X150" s="307">
        <v>0</v>
      </c>
      <c r="Y150" s="306">
        <v>0</v>
      </c>
      <c r="Z150" s="306">
        <v>0</v>
      </c>
      <c r="AA150" s="306">
        <v>2.4</v>
      </c>
      <c r="AB150" s="306">
        <v>1.8</v>
      </c>
    </row>
    <row r="151" spans="1:28" x14ac:dyDescent="0.15">
      <c r="A151" s="306" t="s">
        <v>913</v>
      </c>
      <c r="B151" s="306" t="s">
        <v>160</v>
      </c>
      <c r="C151" s="306" t="s">
        <v>914</v>
      </c>
      <c r="D151" s="306" t="s">
        <v>586</v>
      </c>
      <c r="E151" s="306" t="s">
        <v>587</v>
      </c>
      <c r="F151" s="306">
        <v>2</v>
      </c>
      <c r="G151" s="307">
        <v>1.0053799596503026</v>
      </c>
      <c r="H151" s="306">
        <v>5</v>
      </c>
      <c r="I151" s="306">
        <v>3.5</v>
      </c>
      <c r="J151" s="306">
        <v>0.4</v>
      </c>
      <c r="K151" s="307">
        <v>1</v>
      </c>
      <c r="L151" s="306">
        <v>5</v>
      </c>
      <c r="M151" s="306">
        <v>2.7</v>
      </c>
      <c r="N151" s="306">
        <v>3.1</v>
      </c>
      <c r="O151" s="306">
        <v>2.4</v>
      </c>
      <c r="P151" s="307">
        <v>0.66887417218543044</v>
      </c>
      <c r="Q151" s="306">
        <v>3.3</v>
      </c>
      <c r="R151" s="306">
        <v>2.8499999999999996</v>
      </c>
      <c r="S151" s="306">
        <v>0</v>
      </c>
      <c r="T151" s="307">
        <v>0</v>
      </c>
      <c r="U151" s="306">
        <v>0</v>
      </c>
      <c r="V151" s="306">
        <v>0</v>
      </c>
      <c r="W151" s="306">
        <v>0</v>
      </c>
      <c r="X151" s="307">
        <v>0</v>
      </c>
      <c r="Y151" s="306">
        <v>0</v>
      </c>
      <c r="Z151" s="306">
        <v>0</v>
      </c>
      <c r="AA151" s="306">
        <v>0</v>
      </c>
      <c r="AB151" s="306">
        <v>1.6</v>
      </c>
    </row>
    <row r="152" spans="1:28" x14ac:dyDescent="0.15">
      <c r="A152" s="306" t="s">
        <v>486</v>
      </c>
      <c r="B152" s="306" t="s">
        <v>824</v>
      </c>
      <c r="C152" s="306" t="s">
        <v>487</v>
      </c>
      <c r="D152" s="306" t="s">
        <v>488</v>
      </c>
      <c r="E152" s="306" t="s">
        <v>489</v>
      </c>
      <c r="F152" s="306">
        <v>1.2</v>
      </c>
      <c r="G152" s="307">
        <v>1</v>
      </c>
      <c r="H152" s="306">
        <v>5</v>
      </c>
      <c r="I152" s="306">
        <v>3.1</v>
      </c>
      <c r="J152" s="306">
        <v>0.6</v>
      </c>
      <c r="K152" s="307">
        <v>1</v>
      </c>
      <c r="L152" s="306">
        <v>5</v>
      </c>
      <c r="M152" s="306">
        <v>2.8</v>
      </c>
      <c r="N152" s="306">
        <v>3</v>
      </c>
      <c r="O152" s="306">
        <v>1.4</v>
      </c>
      <c r="P152" s="307">
        <v>0.13847158719790986</v>
      </c>
      <c r="Q152" s="306">
        <v>0.6</v>
      </c>
      <c r="R152" s="306">
        <v>1</v>
      </c>
      <c r="S152" s="306">
        <v>2.2000000000000002</v>
      </c>
      <c r="T152" s="307">
        <v>0.16981132075471697</v>
      </c>
      <c r="U152" s="306">
        <v>5</v>
      </c>
      <c r="V152" s="306">
        <v>3.6</v>
      </c>
      <c r="W152" s="306">
        <v>0</v>
      </c>
      <c r="X152" s="307">
        <v>0</v>
      </c>
      <c r="Y152" s="306">
        <v>0</v>
      </c>
      <c r="Z152" s="306">
        <v>0</v>
      </c>
      <c r="AA152" s="306">
        <v>2.2000000000000002</v>
      </c>
      <c r="AB152" s="306">
        <v>1.6</v>
      </c>
    </row>
    <row r="153" spans="1:28" x14ac:dyDescent="0.15">
      <c r="A153" s="306" t="s">
        <v>490</v>
      </c>
      <c r="B153" s="306" t="s">
        <v>824</v>
      </c>
      <c r="C153" s="306" t="s">
        <v>491</v>
      </c>
      <c r="D153" s="306" t="s">
        <v>492</v>
      </c>
      <c r="E153" s="306" t="s">
        <v>493</v>
      </c>
      <c r="F153" s="306">
        <v>3.7</v>
      </c>
      <c r="G153" s="307">
        <v>1.0531024716786819</v>
      </c>
      <c r="H153" s="306">
        <v>5</v>
      </c>
      <c r="I153" s="306">
        <v>4.3499999999999996</v>
      </c>
      <c r="J153" s="306">
        <v>3.7</v>
      </c>
      <c r="K153" s="307">
        <v>1</v>
      </c>
      <c r="L153" s="306">
        <v>5</v>
      </c>
      <c r="M153" s="306">
        <v>4.3499999999999996</v>
      </c>
      <c r="N153" s="306">
        <v>4.4000000000000004</v>
      </c>
      <c r="O153" s="306">
        <v>0.7</v>
      </c>
      <c r="P153" s="307">
        <v>6.6293929712460068E-3</v>
      </c>
      <c r="Q153" s="306">
        <v>0</v>
      </c>
      <c r="R153" s="306">
        <v>0.35</v>
      </c>
      <c r="S153" s="306">
        <v>2.7</v>
      </c>
      <c r="T153" s="307">
        <v>1</v>
      </c>
      <c r="U153" s="306">
        <v>5</v>
      </c>
      <c r="V153" s="306">
        <v>3.9</v>
      </c>
      <c r="W153" s="306">
        <v>3.9</v>
      </c>
      <c r="X153" s="307">
        <v>6.6867469879518075E-3</v>
      </c>
      <c r="Y153" s="306">
        <v>5</v>
      </c>
      <c r="Z153" s="306">
        <v>4.5</v>
      </c>
      <c r="AA153" s="306">
        <v>4.2</v>
      </c>
      <c r="AB153" s="306">
        <v>2.8</v>
      </c>
    </row>
    <row r="154" spans="1:28" x14ac:dyDescent="0.15">
      <c r="A154" s="306" t="s">
        <v>915</v>
      </c>
      <c r="B154" s="306" t="s">
        <v>821</v>
      </c>
      <c r="C154" s="306" t="s">
        <v>494</v>
      </c>
      <c r="D154" s="306" t="s">
        <v>588</v>
      </c>
      <c r="E154" s="306" t="s">
        <v>496</v>
      </c>
      <c r="F154" s="306">
        <v>4.2</v>
      </c>
      <c r="G154" s="307">
        <v>0.43271182256408924</v>
      </c>
      <c r="H154" s="306">
        <v>2.1</v>
      </c>
      <c r="I154" s="306">
        <v>3.1500000000000004</v>
      </c>
      <c r="J154" s="306">
        <v>5</v>
      </c>
      <c r="K154" s="307">
        <v>0.61249705813132505</v>
      </c>
      <c r="L154" s="306">
        <v>3</v>
      </c>
      <c r="M154" s="306">
        <v>4</v>
      </c>
      <c r="N154" s="306">
        <v>3.6</v>
      </c>
      <c r="O154" s="306">
        <v>4.5</v>
      </c>
      <c r="P154" s="307">
        <v>0.3209798270893372</v>
      </c>
      <c r="Q154" s="306">
        <v>1.6</v>
      </c>
      <c r="R154" s="306">
        <v>3.05</v>
      </c>
      <c r="S154" s="306">
        <v>5</v>
      </c>
      <c r="T154" s="307">
        <v>0.47004249715688035</v>
      </c>
      <c r="U154" s="306">
        <v>5</v>
      </c>
      <c r="V154" s="306">
        <v>5</v>
      </c>
      <c r="W154" s="306">
        <v>2.1</v>
      </c>
      <c r="X154" s="307">
        <v>1.7357993655354043E-6</v>
      </c>
      <c r="Y154" s="306">
        <v>0.1</v>
      </c>
      <c r="Z154" s="306">
        <v>1.1000000000000001</v>
      </c>
      <c r="AA154" s="306">
        <v>3.7</v>
      </c>
      <c r="AB154" s="306">
        <v>3.4</v>
      </c>
    </row>
    <row r="155" spans="1:28" x14ac:dyDescent="0.15">
      <c r="A155" s="306" t="s">
        <v>916</v>
      </c>
      <c r="B155" s="306" t="s">
        <v>824</v>
      </c>
      <c r="C155" s="306" t="s">
        <v>497</v>
      </c>
      <c r="D155" s="306" t="s">
        <v>588</v>
      </c>
      <c r="E155" s="306" t="s">
        <v>496</v>
      </c>
      <c r="F155" s="306">
        <v>3.8</v>
      </c>
      <c r="G155" s="307">
        <v>0.26388004625599315</v>
      </c>
      <c r="H155" s="306">
        <v>1.2</v>
      </c>
      <c r="I155" s="306">
        <v>2.5</v>
      </c>
      <c r="J155" s="306">
        <v>5</v>
      </c>
      <c r="K155" s="307">
        <v>0.49764650506001412</v>
      </c>
      <c r="L155" s="306">
        <v>2.5</v>
      </c>
      <c r="M155" s="306">
        <v>3.75</v>
      </c>
      <c r="N155" s="306">
        <v>3.2</v>
      </c>
      <c r="O155" s="306">
        <v>3.9</v>
      </c>
      <c r="P155" s="307">
        <v>0.16412863561125562</v>
      </c>
      <c r="Q155" s="306">
        <v>0.8</v>
      </c>
      <c r="R155" s="306">
        <v>2.35</v>
      </c>
      <c r="S155" s="306">
        <v>5</v>
      </c>
      <c r="T155" s="307">
        <v>0.48019017432646594</v>
      </c>
      <c r="U155" s="306">
        <v>5</v>
      </c>
      <c r="V155" s="306">
        <v>5</v>
      </c>
      <c r="W155" s="306">
        <v>0</v>
      </c>
      <c r="X155" s="307">
        <v>0</v>
      </c>
      <c r="Y155" s="306">
        <v>0</v>
      </c>
      <c r="Z155" s="306">
        <v>0</v>
      </c>
      <c r="AA155" s="306">
        <v>3.5</v>
      </c>
      <c r="AB155" s="306">
        <v>3</v>
      </c>
    </row>
    <row r="156" spans="1:28" x14ac:dyDescent="0.15">
      <c r="A156" s="306" t="s">
        <v>917</v>
      </c>
      <c r="B156" s="306" t="s">
        <v>824</v>
      </c>
      <c r="C156" s="306" t="s">
        <v>498</v>
      </c>
      <c r="D156" s="306" t="s">
        <v>588</v>
      </c>
      <c r="E156" s="306" t="s">
        <v>496</v>
      </c>
      <c r="F156" s="306">
        <v>3.6</v>
      </c>
      <c r="G156" s="307">
        <v>0.18245000844561673</v>
      </c>
      <c r="H156" s="306">
        <v>0.8</v>
      </c>
      <c r="I156" s="306">
        <v>2.2000000000000002</v>
      </c>
      <c r="J156" s="306">
        <v>4</v>
      </c>
      <c r="K156" s="307">
        <v>0.18517298187808895</v>
      </c>
      <c r="L156" s="306">
        <v>0.9</v>
      </c>
      <c r="M156" s="306">
        <v>2.4500000000000002</v>
      </c>
      <c r="N156" s="306">
        <v>2.2999999999999998</v>
      </c>
      <c r="O156" s="306">
        <v>2.2000000000000002</v>
      </c>
      <c r="P156" s="307">
        <v>4.2323335027961359E-2</v>
      </c>
      <c r="Q156" s="306">
        <v>0.2</v>
      </c>
      <c r="R156" s="306">
        <v>1.2000000000000002</v>
      </c>
      <c r="S156" s="306">
        <v>3.6</v>
      </c>
      <c r="T156" s="307">
        <v>0.48048048048048048</v>
      </c>
      <c r="U156" s="306">
        <v>5</v>
      </c>
      <c r="V156" s="306">
        <v>4.3</v>
      </c>
      <c r="W156" s="306">
        <v>0</v>
      </c>
      <c r="X156" s="307">
        <v>1.5015015015015015E-6</v>
      </c>
      <c r="Y156" s="306">
        <v>0.1</v>
      </c>
      <c r="Z156" s="306">
        <v>0.1</v>
      </c>
      <c r="AA156" s="306">
        <v>2.8</v>
      </c>
      <c r="AB156" s="306">
        <v>2.1</v>
      </c>
    </row>
    <row r="157" spans="1:28" x14ac:dyDescent="0.15">
      <c r="A157" s="306" t="s">
        <v>499</v>
      </c>
      <c r="B157" s="306" t="s">
        <v>165</v>
      </c>
      <c r="C157" s="306" t="s">
        <v>500</v>
      </c>
      <c r="D157" s="306" t="s">
        <v>588</v>
      </c>
      <c r="E157" s="306" t="s">
        <v>496</v>
      </c>
      <c r="F157" s="306">
        <v>3.2</v>
      </c>
      <c r="G157" s="307">
        <v>0.10584046879669451</v>
      </c>
      <c r="H157" s="306">
        <v>0.4</v>
      </c>
      <c r="I157" s="306">
        <v>1.8</v>
      </c>
      <c r="J157" s="306">
        <v>2.6</v>
      </c>
      <c r="K157" s="307">
        <v>6.8639679924688168E-2</v>
      </c>
      <c r="L157" s="306">
        <v>0.3</v>
      </c>
      <c r="M157" s="306">
        <v>1.45</v>
      </c>
      <c r="N157" s="306">
        <v>1.6</v>
      </c>
      <c r="O157" s="306" t="s">
        <v>246</v>
      </c>
      <c r="P157" s="307" t="s">
        <v>246</v>
      </c>
      <c r="Q157" s="306" t="s">
        <v>246</v>
      </c>
      <c r="R157" s="306" t="s">
        <v>246</v>
      </c>
      <c r="S157" s="306">
        <v>4.4000000000000004</v>
      </c>
      <c r="T157" s="307" t="s">
        <v>246</v>
      </c>
      <c r="U157" s="306" t="s">
        <v>246</v>
      </c>
      <c r="V157" s="306">
        <v>4.4000000000000004</v>
      </c>
      <c r="W157" s="306">
        <v>0</v>
      </c>
      <c r="X157" s="307" t="s">
        <v>246</v>
      </c>
      <c r="Y157" s="306" t="s">
        <v>246</v>
      </c>
      <c r="Z157" s="306">
        <v>0</v>
      </c>
      <c r="AA157" s="306">
        <v>2.8</v>
      </c>
      <c r="AB157" s="306">
        <v>2.8</v>
      </c>
    </row>
    <row r="158" spans="1:28" x14ac:dyDescent="0.15">
      <c r="A158" s="306" t="s">
        <v>918</v>
      </c>
      <c r="B158" s="306" t="s">
        <v>158</v>
      </c>
      <c r="C158" s="306" t="s">
        <v>919</v>
      </c>
      <c r="D158" s="306" t="s">
        <v>588</v>
      </c>
      <c r="E158" s="306" t="s">
        <v>496</v>
      </c>
      <c r="F158" s="306">
        <v>3.3</v>
      </c>
      <c r="G158" s="307">
        <v>0.12745345165858918</v>
      </c>
      <c r="H158" s="306">
        <v>0.5</v>
      </c>
      <c r="I158" s="306">
        <v>1.9</v>
      </c>
      <c r="J158" s="306">
        <v>3.8</v>
      </c>
      <c r="K158" s="307">
        <v>0.15794304542245236</v>
      </c>
      <c r="L158" s="306">
        <v>0.7</v>
      </c>
      <c r="M158" s="306">
        <v>2.25</v>
      </c>
      <c r="N158" s="306">
        <v>2.1</v>
      </c>
      <c r="O158" s="306">
        <v>4.0999999999999996</v>
      </c>
      <c r="P158" s="307">
        <v>0.67799135747280581</v>
      </c>
      <c r="Q158" s="306">
        <v>3.4</v>
      </c>
      <c r="R158" s="306">
        <v>3.75</v>
      </c>
      <c r="S158" s="306">
        <v>5</v>
      </c>
      <c r="T158" s="307">
        <v>0.32967032967032966</v>
      </c>
      <c r="U158" s="306">
        <v>5</v>
      </c>
      <c r="V158" s="306">
        <v>5</v>
      </c>
      <c r="W158" s="306">
        <v>0</v>
      </c>
      <c r="X158" s="307">
        <v>0</v>
      </c>
      <c r="Y158" s="306">
        <v>0</v>
      </c>
      <c r="Z158" s="306">
        <v>0</v>
      </c>
      <c r="AA158" s="306">
        <v>3.5</v>
      </c>
      <c r="AB158" s="306">
        <v>3.6</v>
      </c>
    </row>
    <row r="159" spans="1:28" x14ac:dyDescent="0.15">
      <c r="A159" s="306" t="s">
        <v>501</v>
      </c>
      <c r="B159" s="306" t="s">
        <v>832</v>
      </c>
      <c r="C159" s="306" t="s">
        <v>502</v>
      </c>
      <c r="D159" s="306" t="s">
        <v>503</v>
      </c>
      <c r="E159" s="306" t="s">
        <v>504</v>
      </c>
      <c r="F159" s="306">
        <v>4.4000000000000004</v>
      </c>
      <c r="G159" s="307">
        <v>0.49834612779408444</v>
      </c>
      <c r="H159" s="306">
        <v>2.4</v>
      </c>
      <c r="I159" s="306">
        <v>3.4000000000000004</v>
      </c>
      <c r="J159" s="306">
        <v>4.5</v>
      </c>
      <c r="K159" s="307">
        <v>0.32096542309870607</v>
      </c>
      <c r="L159" s="306">
        <v>1.6</v>
      </c>
      <c r="M159" s="306">
        <v>3.05</v>
      </c>
      <c r="N159" s="306">
        <v>3.2</v>
      </c>
      <c r="O159" s="306">
        <v>4.5999999999999996</v>
      </c>
      <c r="P159" s="307">
        <v>0.82010677766717943</v>
      </c>
      <c r="Q159" s="306">
        <v>4.0999999999999996</v>
      </c>
      <c r="R159" s="306">
        <v>4.3499999999999996</v>
      </c>
      <c r="S159" s="306">
        <v>3.4</v>
      </c>
      <c r="T159" s="307">
        <v>1.3406156901688183E-2</v>
      </c>
      <c r="U159" s="306">
        <v>0.4</v>
      </c>
      <c r="V159" s="306">
        <v>1.9</v>
      </c>
      <c r="W159" s="306">
        <v>0</v>
      </c>
      <c r="X159" s="307">
        <v>0</v>
      </c>
      <c r="Y159" s="306">
        <v>0</v>
      </c>
      <c r="Z159" s="306">
        <v>0</v>
      </c>
      <c r="AA159" s="306">
        <v>1</v>
      </c>
      <c r="AB159" s="306">
        <v>3.1</v>
      </c>
    </row>
    <row r="160" spans="1:28" x14ac:dyDescent="0.15">
      <c r="A160" s="306" t="s">
        <v>505</v>
      </c>
      <c r="B160" s="306" t="s">
        <v>824</v>
      </c>
      <c r="C160" s="306" t="s">
        <v>506</v>
      </c>
      <c r="D160" s="306" t="s">
        <v>503</v>
      </c>
      <c r="E160" s="306" t="s">
        <v>504</v>
      </c>
      <c r="F160" s="306">
        <v>3.8</v>
      </c>
      <c r="G160" s="307">
        <v>0.21122488146308421</v>
      </c>
      <c r="H160" s="306">
        <v>1</v>
      </c>
      <c r="I160" s="306">
        <v>2.4</v>
      </c>
      <c r="J160" s="306">
        <v>3.9</v>
      </c>
      <c r="K160" s="307">
        <v>0.21804795167075702</v>
      </c>
      <c r="L160" s="306">
        <v>1.1000000000000001</v>
      </c>
      <c r="M160" s="306">
        <v>2.5</v>
      </c>
      <c r="N160" s="306">
        <v>2.5</v>
      </c>
      <c r="O160" s="306">
        <v>4.5</v>
      </c>
      <c r="P160" s="307">
        <v>1</v>
      </c>
      <c r="Q160" s="306">
        <v>5</v>
      </c>
      <c r="R160" s="306">
        <v>4.75</v>
      </c>
      <c r="S160" s="306">
        <v>3.4</v>
      </c>
      <c r="T160" s="307">
        <v>1.6183816183816185E-2</v>
      </c>
      <c r="U160" s="306">
        <v>0.5</v>
      </c>
      <c r="V160" s="306">
        <v>2</v>
      </c>
      <c r="W160" s="306">
        <v>0</v>
      </c>
      <c r="X160" s="307">
        <v>0</v>
      </c>
      <c r="Y160" s="306">
        <v>0</v>
      </c>
      <c r="Z160" s="306">
        <v>0</v>
      </c>
      <c r="AA160" s="306">
        <v>1.1000000000000001</v>
      </c>
      <c r="AB160" s="306">
        <v>3.5</v>
      </c>
    </row>
    <row r="161" spans="1:28" x14ac:dyDescent="0.15">
      <c r="A161" s="306" t="s">
        <v>507</v>
      </c>
      <c r="B161" s="306" t="s">
        <v>219</v>
      </c>
      <c r="C161" s="306" t="s">
        <v>508</v>
      </c>
      <c r="D161" s="306" t="s">
        <v>503</v>
      </c>
      <c r="E161" s="306" t="s">
        <v>504</v>
      </c>
      <c r="F161" s="306">
        <v>4.3</v>
      </c>
      <c r="G161" s="307">
        <v>0.4032050124181531</v>
      </c>
      <c r="H161" s="306">
        <v>2</v>
      </c>
      <c r="I161" s="306">
        <v>3.15</v>
      </c>
      <c r="J161" s="306">
        <v>2.8</v>
      </c>
      <c r="K161" s="307">
        <v>0.10291747142794906</v>
      </c>
      <c r="L161" s="306">
        <v>0.5</v>
      </c>
      <c r="M161" s="306">
        <v>1.65</v>
      </c>
      <c r="N161" s="306">
        <v>2.5</v>
      </c>
      <c r="O161" s="306">
        <v>3.3</v>
      </c>
      <c r="P161" s="307">
        <v>0.43897276703823901</v>
      </c>
      <c r="Q161" s="306">
        <v>2.2000000000000002</v>
      </c>
      <c r="R161" s="306">
        <v>2.75</v>
      </c>
      <c r="S161" s="306" t="s">
        <v>246</v>
      </c>
      <c r="T161" s="307" t="s">
        <v>246</v>
      </c>
      <c r="U161" s="306" t="s">
        <v>246</v>
      </c>
      <c r="V161" s="306" t="s">
        <v>246</v>
      </c>
      <c r="W161" s="306">
        <v>0</v>
      </c>
      <c r="X161" s="307">
        <v>0</v>
      </c>
      <c r="Y161" s="306">
        <v>0</v>
      </c>
      <c r="Z161" s="306">
        <v>0</v>
      </c>
      <c r="AA161" s="306">
        <v>0</v>
      </c>
      <c r="AB161" s="306">
        <v>1.6</v>
      </c>
    </row>
    <row r="162" spans="1:28" x14ac:dyDescent="0.15">
      <c r="A162" s="306" t="s">
        <v>511</v>
      </c>
      <c r="B162" s="306" t="s">
        <v>824</v>
      </c>
      <c r="C162" s="306" t="s">
        <v>512</v>
      </c>
      <c r="D162" s="306" t="s">
        <v>509</v>
      </c>
      <c r="E162" s="306" t="s">
        <v>510</v>
      </c>
      <c r="F162" s="306">
        <v>2.4</v>
      </c>
      <c r="G162" s="307">
        <v>0.13222122481547977</v>
      </c>
      <c r="H162" s="306">
        <v>0.6</v>
      </c>
      <c r="I162" s="306">
        <v>1.5</v>
      </c>
      <c r="J162" s="306">
        <v>2.9</v>
      </c>
      <c r="K162" s="307">
        <v>0.14626999785126873</v>
      </c>
      <c r="L162" s="306">
        <v>0.7</v>
      </c>
      <c r="M162" s="306">
        <v>1.7999999999999998</v>
      </c>
      <c r="N162" s="306">
        <v>1.7</v>
      </c>
      <c r="O162" s="306">
        <v>2.9</v>
      </c>
      <c r="P162" s="307">
        <v>0.21968482905982906</v>
      </c>
      <c r="Q162" s="306">
        <v>1.1000000000000001</v>
      </c>
      <c r="R162" s="306">
        <v>2</v>
      </c>
      <c r="S162" s="306">
        <v>4.5999999999999996</v>
      </c>
      <c r="T162" s="307">
        <v>1</v>
      </c>
      <c r="U162" s="306">
        <v>5</v>
      </c>
      <c r="V162" s="306">
        <v>4.8</v>
      </c>
      <c r="W162" s="306" t="s">
        <v>246</v>
      </c>
      <c r="X162" s="307" t="s">
        <v>246</v>
      </c>
      <c r="Y162" s="306" t="s">
        <v>246</v>
      </c>
      <c r="Z162" s="306" t="s">
        <v>246</v>
      </c>
      <c r="AA162" s="306">
        <v>4.8</v>
      </c>
      <c r="AB162" s="306">
        <v>3.8</v>
      </c>
    </row>
    <row r="163" spans="1:28" x14ac:dyDescent="0.15">
      <c r="A163" s="308" t="s">
        <v>920</v>
      </c>
      <c r="B163" s="308" t="s">
        <v>809</v>
      </c>
      <c r="C163" s="308" t="s">
        <v>513</v>
      </c>
      <c r="D163" s="308" t="s">
        <v>94</v>
      </c>
      <c r="E163" s="308" t="s">
        <v>95</v>
      </c>
      <c r="F163" s="308">
        <v>4.5999999999999996</v>
      </c>
      <c r="G163" s="308">
        <v>1.0418156713841906</v>
      </c>
      <c r="H163" s="308">
        <v>5</v>
      </c>
      <c r="I163" s="308">
        <v>4.8</v>
      </c>
      <c r="J163" s="308">
        <v>5</v>
      </c>
      <c r="K163" s="308">
        <v>1</v>
      </c>
      <c r="L163" s="308">
        <v>5</v>
      </c>
      <c r="M163" s="308">
        <v>5</v>
      </c>
      <c r="N163" s="308">
        <v>4.9000000000000004</v>
      </c>
      <c r="O163" s="308">
        <v>4.7</v>
      </c>
      <c r="P163" s="308">
        <v>0.55678829075188163</v>
      </c>
      <c r="Q163" s="308">
        <v>2.8</v>
      </c>
      <c r="R163" s="308">
        <v>3.75</v>
      </c>
      <c r="S163" s="308">
        <v>5</v>
      </c>
      <c r="T163" s="308">
        <v>0.64787875953038032</v>
      </c>
      <c r="U163" s="308">
        <v>5</v>
      </c>
      <c r="V163" s="308">
        <v>5</v>
      </c>
      <c r="W163" s="308">
        <v>5</v>
      </c>
      <c r="X163" s="308">
        <v>5.4894990411151132E-4</v>
      </c>
      <c r="Y163" s="308">
        <v>5</v>
      </c>
      <c r="Z163" s="308">
        <v>5</v>
      </c>
      <c r="AA163" s="308">
        <v>5</v>
      </c>
      <c r="AB163" s="308">
        <v>4.5</v>
      </c>
    </row>
    <row r="164" spans="1:28" x14ac:dyDescent="0.15">
      <c r="A164" s="308" t="s">
        <v>514</v>
      </c>
      <c r="B164" s="308" t="s">
        <v>921</v>
      </c>
      <c r="C164" s="308" t="s">
        <v>515</v>
      </c>
      <c r="D164" s="308" t="s">
        <v>96</v>
      </c>
      <c r="E164" s="308" t="s">
        <v>97</v>
      </c>
      <c r="F164" s="308">
        <v>4.9000000000000004</v>
      </c>
      <c r="G164" s="308">
        <v>1</v>
      </c>
      <c r="H164" s="308">
        <v>5</v>
      </c>
      <c r="I164" s="308">
        <v>4.95</v>
      </c>
      <c r="J164" s="308">
        <v>4.8</v>
      </c>
      <c r="K164" s="308">
        <v>1</v>
      </c>
      <c r="L164" s="308">
        <v>5</v>
      </c>
      <c r="M164" s="308">
        <v>4.9000000000000004</v>
      </c>
      <c r="N164" s="308">
        <v>4.9000000000000004</v>
      </c>
      <c r="O164" s="308">
        <v>4.5</v>
      </c>
      <c r="P164" s="308">
        <v>0.59999293336159987</v>
      </c>
      <c r="Q164" s="308">
        <v>3</v>
      </c>
      <c r="R164" s="308">
        <v>3.75</v>
      </c>
      <c r="S164" s="308">
        <v>5</v>
      </c>
      <c r="T164" s="308">
        <v>0.45344797126199871</v>
      </c>
      <c r="U164" s="308">
        <v>5</v>
      </c>
      <c r="V164" s="308">
        <v>5</v>
      </c>
      <c r="W164" s="308">
        <v>3.5</v>
      </c>
      <c r="X164" s="308">
        <v>1.5429008892291384E-5</v>
      </c>
      <c r="Y164" s="308">
        <v>0.8</v>
      </c>
      <c r="Z164" s="308">
        <v>2.2000000000000002</v>
      </c>
      <c r="AA164" s="308">
        <v>4</v>
      </c>
      <c r="AB164" s="308">
        <v>3.9</v>
      </c>
    </row>
    <row r="165" spans="1:28" x14ac:dyDescent="0.15">
      <c r="A165" s="308" t="s">
        <v>516</v>
      </c>
      <c r="B165" s="308" t="s">
        <v>165</v>
      </c>
      <c r="C165" s="308" t="s">
        <v>517</v>
      </c>
      <c r="D165" s="308" t="s">
        <v>51</v>
      </c>
      <c r="E165" s="308" t="s">
        <v>52</v>
      </c>
      <c r="F165" s="308">
        <v>4.5</v>
      </c>
      <c r="G165" s="308">
        <v>1</v>
      </c>
      <c r="H165" s="308">
        <v>5</v>
      </c>
      <c r="I165" s="308">
        <v>4.75</v>
      </c>
      <c r="J165" s="308">
        <v>5</v>
      </c>
      <c r="K165" s="308">
        <v>0.97634804285247945</v>
      </c>
      <c r="L165" s="308">
        <v>4.9000000000000004</v>
      </c>
      <c r="M165" s="308">
        <v>4.95</v>
      </c>
      <c r="N165" s="308">
        <v>4.9000000000000004</v>
      </c>
      <c r="O165" s="308">
        <v>4.9000000000000004</v>
      </c>
      <c r="P165" s="308">
        <v>0.84802431610942253</v>
      </c>
      <c r="Q165" s="308">
        <v>4.2</v>
      </c>
      <c r="R165" s="308">
        <v>4.5500000000000007</v>
      </c>
      <c r="S165" s="308">
        <v>5</v>
      </c>
      <c r="T165" s="308">
        <v>0.2213978494623656</v>
      </c>
      <c r="U165" s="308">
        <v>5</v>
      </c>
      <c r="V165" s="308">
        <v>5</v>
      </c>
      <c r="W165" s="308">
        <v>5</v>
      </c>
      <c r="X165" s="308">
        <v>1.4562724014336917E-4</v>
      </c>
      <c r="Y165" s="308">
        <v>5</v>
      </c>
      <c r="Z165" s="308">
        <v>5</v>
      </c>
      <c r="AA165" s="308">
        <v>5</v>
      </c>
      <c r="AB165" s="308">
        <v>4.8</v>
      </c>
    </row>
    <row r="166" spans="1:28" x14ac:dyDescent="0.15">
      <c r="A166" s="308" t="s">
        <v>518</v>
      </c>
      <c r="B166" s="308" t="s">
        <v>824</v>
      </c>
      <c r="C166" s="308" t="s">
        <v>519</v>
      </c>
      <c r="D166" s="308" t="s">
        <v>51</v>
      </c>
      <c r="E166" s="308" t="s">
        <v>52</v>
      </c>
      <c r="F166" s="308">
        <v>2.8</v>
      </c>
      <c r="G166" s="308">
        <v>8.881186431047218E-2</v>
      </c>
      <c r="H166" s="308">
        <v>0.4</v>
      </c>
      <c r="I166" s="308">
        <v>1.5999999999999999</v>
      </c>
      <c r="J166" s="308">
        <v>2.7</v>
      </c>
      <c r="K166" s="308">
        <v>0.18817698904947028</v>
      </c>
      <c r="L166" s="308">
        <v>0.9</v>
      </c>
      <c r="M166" s="308">
        <v>1.8</v>
      </c>
      <c r="N166" s="308">
        <v>1.7</v>
      </c>
      <c r="O166" s="308">
        <v>1.8</v>
      </c>
      <c r="P166" s="308">
        <v>5.9927456237186566E-2</v>
      </c>
      <c r="Q166" s="308">
        <v>0.3</v>
      </c>
      <c r="R166" s="308">
        <v>1.05</v>
      </c>
      <c r="S166" s="308">
        <v>3.7</v>
      </c>
      <c r="T166" s="308">
        <v>1</v>
      </c>
      <c r="U166" s="308">
        <v>5</v>
      </c>
      <c r="V166" s="308">
        <v>4.4000000000000004</v>
      </c>
      <c r="W166" s="308">
        <v>2.8</v>
      </c>
      <c r="X166" s="308">
        <v>2.2894736842105263E-4</v>
      </c>
      <c r="Y166" s="308">
        <v>5</v>
      </c>
      <c r="Z166" s="308">
        <v>3.9</v>
      </c>
      <c r="AA166" s="308">
        <v>4.2</v>
      </c>
      <c r="AB166" s="308">
        <v>3</v>
      </c>
    </row>
    <row r="167" spans="1:28" x14ac:dyDescent="0.15">
      <c r="A167" s="308" t="s">
        <v>520</v>
      </c>
      <c r="B167" s="308" t="s">
        <v>219</v>
      </c>
      <c r="C167" s="308" t="s">
        <v>521</v>
      </c>
      <c r="D167" s="308" t="s">
        <v>522</v>
      </c>
      <c r="E167" s="308" t="s">
        <v>523</v>
      </c>
      <c r="F167" s="308">
        <v>4.8</v>
      </c>
      <c r="G167" s="308">
        <v>1.0124134034625163</v>
      </c>
      <c r="H167" s="308">
        <v>5</v>
      </c>
      <c r="I167" s="308">
        <v>4.9000000000000004</v>
      </c>
      <c r="J167" s="308">
        <v>3.2</v>
      </c>
      <c r="K167" s="308">
        <v>0.43540692681995991</v>
      </c>
      <c r="L167" s="308">
        <v>2.1</v>
      </c>
      <c r="M167" s="308">
        <v>2.6500000000000004</v>
      </c>
      <c r="N167" s="308">
        <v>4</v>
      </c>
      <c r="O167" s="308">
        <v>4.0999999999999996</v>
      </c>
      <c r="P167" s="308">
        <v>0.93710967459187022</v>
      </c>
      <c r="Q167" s="308">
        <v>4.7</v>
      </c>
      <c r="R167" s="308">
        <v>4.4000000000000004</v>
      </c>
      <c r="S167" s="308" t="s">
        <v>246</v>
      </c>
      <c r="T167" s="308" t="s">
        <v>246</v>
      </c>
      <c r="U167" s="308" t="s">
        <v>246</v>
      </c>
      <c r="V167" s="308" t="s">
        <v>246</v>
      </c>
      <c r="W167" s="308">
        <v>4.0999999999999996</v>
      </c>
      <c r="X167" s="308">
        <v>8.2076464398456679E-5</v>
      </c>
      <c r="Y167" s="308">
        <v>4.0999999999999996</v>
      </c>
      <c r="Z167" s="308">
        <v>4.0999999999999996</v>
      </c>
      <c r="AA167" s="308">
        <v>4.0999999999999996</v>
      </c>
      <c r="AB167" s="308">
        <v>4.3</v>
      </c>
    </row>
    <row r="168" spans="1:28" x14ac:dyDescent="0.15">
      <c r="A168" s="308" t="s">
        <v>524</v>
      </c>
      <c r="B168" s="308" t="s">
        <v>922</v>
      </c>
      <c r="C168" s="308" t="s">
        <v>525</v>
      </c>
      <c r="D168" s="308" t="s">
        <v>526</v>
      </c>
      <c r="E168" s="308" t="s">
        <v>527</v>
      </c>
      <c r="F168" s="308">
        <v>4.3</v>
      </c>
      <c r="G168" s="308">
        <v>1</v>
      </c>
      <c r="H168" s="308">
        <v>5</v>
      </c>
      <c r="I168" s="308">
        <v>4.6500000000000004</v>
      </c>
      <c r="J168" s="308">
        <v>4.0999999999999996</v>
      </c>
      <c r="K168" s="308">
        <v>1</v>
      </c>
      <c r="L168" s="308">
        <v>5</v>
      </c>
      <c r="M168" s="308">
        <v>4.55</v>
      </c>
      <c r="N168" s="308">
        <v>4.5999999999999996</v>
      </c>
      <c r="O168" s="308">
        <v>4.5</v>
      </c>
      <c r="P168" s="308">
        <v>1</v>
      </c>
      <c r="Q168" s="308">
        <v>5</v>
      </c>
      <c r="R168" s="308">
        <v>4.75</v>
      </c>
      <c r="S168" s="308">
        <v>2</v>
      </c>
      <c r="T168" s="308">
        <v>1.4183558891318481E-3</v>
      </c>
      <c r="U168" s="308">
        <v>0</v>
      </c>
      <c r="V168" s="308">
        <v>1</v>
      </c>
      <c r="W168" s="308">
        <v>4</v>
      </c>
      <c r="X168" s="308">
        <v>3.5636191714437683E-5</v>
      </c>
      <c r="Y168" s="308">
        <v>1.8</v>
      </c>
      <c r="Z168" s="308">
        <v>2.9</v>
      </c>
      <c r="AA168" s="308">
        <v>2.1</v>
      </c>
      <c r="AB168" s="308">
        <v>3.8</v>
      </c>
    </row>
  </sheetData>
  <sheetProtection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A0F7D-F174-4FD9-8FAE-4D9E50C6B311}">
  <dimension ref="A1:U95"/>
  <sheetViews>
    <sheetView showGridLines="0" workbookViewId="0">
      <selection activeCell="N1" sqref="N1:N1048576"/>
    </sheetView>
  </sheetViews>
  <sheetFormatPr baseColWidth="10" defaultColWidth="9" defaultRowHeight="14" x14ac:dyDescent="0.2"/>
  <cols>
    <col min="1" max="16384" width="9" style="301"/>
  </cols>
  <sheetData>
    <row r="1" spans="1:21" ht="18" x14ac:dyDescent="0.2">
      <c r="A1" s="299" t="s">
        <v>1149</v>
      </c>
      <c r="B1" s="300"/>
      <c r="C1" s="300"/>
      <c r="D1" s="300"/>
      <c r="E1" s="300"/>
      <c r="F1" s="300"/>
      <c r="G1" s="300"/>
      <c r="H1" s="300"/>
      <c r="I1" s="300"/>
      <c r="J1" s="300"/>
      <c r="K1" s="300"/>
      <c r="L1" s="300"/>
      <c r="M1" s="300"/>
      <c r="N1" s="300"/>
      <c r="O1" s="300"/>
      <c r="P1" s="300"/>
      <c r="Q1" s="300"/>
      <c r="R1" s="300"/>
      <c r="S1" s="300"/>
      <c r="T1" s="300"/>
      <c r="U1" s="300"/>
    </row>
    <row r="2" spans="1:21" s="302" customFormat="1" ht="37" x14ac:dyDescent="0.2">
      <c r="A2" s="286" t="s">
        <v>151</v>
      </c>
      <c r="B2" s="286" t="s">
        <v>153</v>
      </c>
      <c r="C2" s="286" t="s">
        <v>124</v>
      </c>
      <c r="D2" s="286" t="s">
        <v>47</v>
      </c>
      <c r="E2" s="286" t="s">
        <v>805</v>
      </c>
      <c r="F2" s="286" t="s">
        <v>923</v>
      </c>
      <c r="G2" s="286" t="s">
        <v>924</v>
      </c>
      <c r="H2" s="338" t="s">
        <v>924</v>
      </c>
      <c r="I2" s="338" t="s">
        <v>925</v>
      </c>
      <c r="J2" s="338" t="s">
        <v>926</v>
      </c>
      <c r="K2" s="286" t="s">
        <v>927</v>
      </c>
      <c r="L2" s="286" t="s">
        <v>791</v>
      </c>
      <c r="M2" s="286" t="s">
        <v>804</v>
      </c>
      <c r="N2" s="286" t="s">
        <v>928</v>
      </c>
      <c r="O2" s="286" t="s">
        <v>929</v>
      </c>
      <c r="P2" s="286" t="s">
        <v>930</v>
      </c>
      <c r="Q2" s="286" t="s">
        <v>931</v>
      </c>
      <c r="R2" s="286" t="s">
        <v>932</v>
      </c>
      <c r="S2" s="286" t="s">
        <v>933</v>
      </c>
      <c r="T2" s="338" t="s">
        <v>934</v>
      </c>
      <c r="U2" s="338" t="s">
        <v>935</v>
      </c>
    </row>
    <row r="3" spans="1:21" x14ac:dyDescent="0.2">
      <c r="A3" s="335" t="s">
        <v>936</v>
      </c>
      <c r="B3" s="336"/>
      <c r="C3" s="336"/>
      <c r="D3" s="335"/>
      <c r="E3" s="336"/>
      <c r="F3" s="335"/>
      <c r="G3" s="335"/>
      <c r="H3" s="339"/>
      <c r="I3" s="339"/>
      <c r="J3" s="339"/>
      <c r="K3" s="335"/>
      <c r="L3" s="335"/>
      <c r="M3" s="335"/>
      <c r="N3" s="335"/>
      <c r="O3" s="335"/>
      <c r="P3" s="335"/>
      <c r="Q3" s="335"/>
      <c r="R3" s="335"/>
      <c r="S3" s="335"/>
      <c r="T3" s="341"/>
      <c r="U3" s="342"/>
    </row>
    <row r="4" spans="1:21" s="305" customFormat="1" ht="11" x14ac:dyDescent="0.15">
      <c r="A4" s="303" t="s">
        <v>937</v>
      </c>
      <c r="B4" s="303"/>
      <c r="C4" s="303"/>
      <c r="D4" s="303" t="s">
        <v>937</v>
      </c>
      <c r="E4" s="303"/>
      <c r="F4" s="337" t="s">
        <v>938</v>
      </c>
      <c r="G4" s="337" t="s">
        <v>938</v>
      </c>
      <c r="H4" s="340" t="s">
        <v>939</v>
      </c>
      <c r="I4" s="340" t="s">
        <v>940</v>
      </c>
      <c r="J4" s="340" t="s">
        <v>939</v>
      </c>
      <c r="K4" s="337" t="s">
        <v>938</v>
      </c>
      <c r="L4" s="337" t="s">
        <v>938</v>
      </c>
      <c r="M4" s="337" t="s">
        <v>938</v>
      </c>
      <c r="N4" s="337" t="s">
        <v>938</v>
      </c>
      <c r="O4" s="337" t="s">
        <v>938</v>
      </c>
      <c r="P4" s="337" t="s">
        <v>938</v>
      </c>
      <c r="Q4" s="337" t="s">
        <v>938</v>
      </c>
      <c r="R4" s="337" t="s">
        <v>938</v>
      </c>
      <c r="S4" s="337" t="s">
        <v>938</v>
      </c>
      <c r="T4" s="340"/>
      <c r="U4" s="343"/>
    </row>
    <row r="5" spans="1:21" s="305" customFormat="1" ht="11" x14ac:dyDescent="0.15">
      <c r="A5" s="303" t="s">
        <v>156</v>
      </c>
      <c r="B5" s="303" t="s">
        <v>157</v>
      </c>
      <c r="C5" s="303" t="s">
        <v>48</v>
      </c>
      <c r="D5" s="303" t="s">
        <v>50</v>
      </c>
      <c r="E5" s="303" t="s">
        <v>806</v>
      </c>
      <c r="F5" s="303">
        <v>4.4000000000000004</v>
      </c>
      <c r="G5" s="303">
        <v>5</v>
      </c>
      <c r="H5" s="303" t="s">
        <v>941</v>
      </c>
      <c r="I5" s="303" t="s">
        <v>949</v>
      </c>
      <c r="J5" s="303" t="s">
        <v>941</v>
      </c>
      <c r="K5" s="303">
        <v>4.8</v>
      </c>
      <c r="L5" s="303">
        <v>4.9000000000000004</v>
      </c>
      <c r="M5" s="303">
        <v>4.7</v>
      </c>
      <c r="N5" s="303">
        <v>4.5</v>
      </c>
      <c r="O5" s="303">
        <v>5</v>
      </c>
      <c r="P5" s="303">
        <v>4</v>
      </c>
      <c r="Q5" s="303">
        <v>4</v>
      </c>
      <c r="R5" s="303">
        <v>3.9</v>
      </c>
      <c r="S5" s="303">
        <v>4</v>
      </c>
      <c r="T5" s="303" t="s">
        <v>943</v>
      </c>
      <c r="U5" s="304">
        <v>45375</v>
      </c>
    </row>
    <row r="6" spans="1:21" s="305" customFormat="1" ht="11" x14ac:dyDescent="0.15">
      <c r="A6" s="303" t="s">
        <v>159</v>
      </c>
      <c r="B6" s="303" t="s">
        <v>161</v>
      </c>
      <c r="C6" s="303" t="s">
        <v>162</v>
      </c>
      <c r="D6" s="303" t="s">
        <v>163</v>
      </c>
      <c r="E6" s="303" t="s">
        <v>219</v>
      </c>
      <c r="F6" s="303">
        <v>3.1</v>
      </c>
      <c r="G6" s="303">
        <v>4</v>
      </c>
      <c r="H6" s="303" t="s">
        <v>944</v>
      </c>
      <c r="I6" s="303" t="s">
        <v>942</v>
      </c>
      <c r="J6" s="303" t="s">
        <v>946</v>
      </c>
      <c r="K6" s="303">
        <v>2.8</v>
      </c>
      <c r="L6" s="303">
        <v>3.7</v>
      </c>
      <c r="M6" s="303">
        <v>2.2000000000000002</v>
      </c>
      <c r="N6" s="303">
        <v>3.85</v>
      </c>
      <c r="O6" s="303">
        <v>3.7</v>
      </c>
      <c r="P6" s="303">
        <v>4</v>
      </c>
      <c r="Q6" s="303">
        <v>2.2000000000000002</v>
      </c>
      <c r="R6" s="303">
        <v>3.1</v>
      </c>
      <c r="S6" s="303">
        <v>1</v>
      </c>
      <c r="T6" s="303" t="s">
        <v>947</v>
      </c>
      <c r="U6" s="304">
        <v>45379</v>
      </c>
    </row>
    <row r="7" spans="1:21" s="305" customFormat="1" ht="11" x14ac:dyDescent="0.15">
      <c r="A7" s="303" t="s">
        <v>164</v>
      </c>
      <c r="B7" s="303" t="s">
        <v>166</v>
      </c>
      <c r="C7" s="303" t="s">
        <v>167</v>
      </c>
      <c r="D7" s="303" t="s">
        <v>168</v>
      </c>
      <c r="E7" s="303" t="s">
        <v>809</v>
      </c>
      <c r="F7" s="303">
        <v>2.2999999999999998</v>
      </c>
      <c r="G7" s="303">
        <v>3</v>
      </c>
      <c r="H7" s="303" t="s">
        <v>946</v>
      </c>
      <c r="I7" s="303" t="s">
        <v>945</v>
      </c>
      <c r="J7" s="303" t="s">
        <v>941</v>
      </c>
      <c r="K7" s="303">
        <v>2.2999999999999998</v>
      </c>
      <c r="L7" s="303">
        <v>2.4</v>
      </c>
      <c r="M7" s="303">
        <v>2.2999999999999998</v>
      </c>
      <c r="N7" s="303">
        <v>2.5</v>
      </c>
      <c r="O7" s="303">
        <v>2</v>
      </c>
      <c r="P7" s="303">
        <v>3</v>
      </c>
      <c r="Q7" s="303">
        <v>2</v>
      </c>
      <c r="R7" s="303">
        <v>2</v>
      </c>
      <c r="S7" s="303">
        <v>2</v>
      </c>
      <c r="T7" s="303" t="s">
        <v>948</v>
      </c>
      <c r="U7" s="304">
        <v>45382</v>
      </c>
    </row>
    <row r="8" spans="1:21" s="305" customFormat="1" ht="11" x14ac:dyDescent="0.15">
      <c r="A8" s="303" t="s">
        <v>169</v>
      </c>
      <c r="B8" s="303" t="s">
        <v>170</v>
      </c>
      <c r="C8" s="303" t="s">
        <v>171</v>
      </c>
      <c r="D8" s="303" t="s">
        <v>172</v>
      </c>
      <c r="E8" s="303" t="s">
        <v>809</v>
      </c>
      <c r="F8" s="303">
        <v>2.1</v>
      </c>
      <c r="G8" s="303">
        <v>3</v>
      </c>
      <c r="H8" s="303" t="s">
        <v>946</v>
      </c>
      <c r="I8" s="303" t="s">
        <v>942</v>
      </c>
      <c r="J8" s="303" t="s">
        <v>946</v>
      </c>
      <c r="K8" s="303">
        <v>2.5</v>
      </c>
      <c r="L8" s="303">
        <v>0.9</v>
      </c>
      <c r="M8" s="303">
        <v>3.1</v>
      </c>
      <c r="N8" s="303">
        <v>1</v>
      </c>
      <c r="O8" s="303">
        <v>0</v>
      </c>
      <c r="P8" s="303">
        <v>2</v>
      </c>
      <c r="Q8" s="303">
        <v>3.3</v>
      </c>
      <c r="R8" s="303">
        <v>3</v>
      </c>
      <c r="S8" s="303">
        <v>3.5</v>
      </c>
      <c r="T8" s="303" t="s">
        <v>948</v>
      </c>
      <c r="U8" s="304">
        <v>45382</v>
      </c>
    </row>
    <row r="9" spans="1:21" s="305" customFormat="1" ht="11" x14ac:dyDescent="0.15">
      <c r="A9" s="303" t="s">
        <v>173</v>
      </c>
      <c r="B9" s="303" t="s">
        <v>174</v>
      </c>
      <c r="C9" s="303" t="s">
        <v>88</v>
      </c>
      <c r="D9" s="303" t="s">
        <v>89</v>
      </c>
      <c r="E9" s="303" t="s">
        <v>810</v>
      </c>
      <c r="F9" s="303">
        <v>3.3</v>
      </c>
      <c r="G9" s="303">
        <v>4</v>
      </c>
      <c r="H9" s="303" t="s">
        <v>944</v>
      </c>
      <c r="I9" s="303" t="s">
        <v>949</v>
      </c>
      <c r="J9" s="303" t="s">
        <v>941</v>
      </c>
      <c r="K9" s="303">
        <v>3.4</v>
      </c>
      <c r="L9" s="303">
        <v>4</v>
      </c>
      <c r="M9" s="303">
        <v>3.1</v>
      </c>
      <c r="N9" s="303">
        <v>3.25</v>
      </c>
      <c r="O9" s="303">
        <v>3.5</v>
      </c>
      <c r="P9" s="303">
        <v>3</v>
      </c>
      <c r="Q9" s="303">
        <v>3.3</v>
      </c>
      <c r="R9" s="303">
        <v>3</v>
      </c>
      <c r="S9" s="303">
        <v>3.5</v>
      </c>
      <c r="T9" s="303" t="s">
        <v>947</v>
      </c>
      <c r="U9" s="304">
        <v>45379</v>
      </c>
    </row>
    <row r="10" spans="1:21" s="305" customFormat="1" ht="11" x14ac:dyDescent="0.15">
      <c r="A10" s="303" t="s">
        <v>175</v>
      </c>
      <c r="B10" s="303" t="s">
        <v>176</v>
      </c>
      <c r="C10" s="303" t="s">
        <v>98</v>
      </c>
      <c r="D10" s="303" t="s">
        <v>99</v>
      </c>
      <c r="E10" s="303" t="s">
        <v>811</v>
      </c>
      <c r="F10" s="303">
        <v>4.0999999999999996</v>
      </c>
      <c r="G10" s="303">
        <v>5</v>
      </c>
      <c r="H10" s="303" t="s">
        <v>941</v>
      </c>
      <c r="I10" s="303" t="s">
        <v>949</v>
      </c>
      <c r="J10" s="303" t="s">
        <v>941</v>
      </c>
      <c r="K10" s="303">
        <v>4</v>
      </c>
      <c r="L10" s="303">
        <v>4.0999999999999996</v>
      </c>
      <c r="M10" s="303">
        <v>4</v>
      </c>
      <c r="N10" s="303">
        <v>4.2</v>
      </c>
      <c r="O10" s="303">
        <v>4.4000000000000004</v>
      </c>
      <c r="P10" s="303">
        <v>4</v>
      </c>
      <c r="Q10" s="303">
        <v>3.9</v>
      </c>
      <c r="R10" s="303">
        <v>3.2</v>
      </c>
      <c r="S10" s="303">
        <v>4.5</v>
      </c>
      <c r="T10" s="303" t="s">
        <v>947</v>
      </c>
      <c r="U10" s="304">
        <v>45379</v>
      </c>
    </row>
    <row r="11" spans="1:21" s="305" customFormat="1" ht="11" x14ac:dyDescent="0.15">
      <c r="A11" s="303" t="s">
        <v>814</v>
      </c>
      <c r="B11" s="303" t="s">
        <v>816</v>
      </c>
      <c r="C11" s="303" t="s">
        <v>133</v>
      </c>
      <c r="D11" s="303" t="s">
        <v>134</v>
      </c>
      <c r="E11" s="303" t="s">
        <v>815</v>
      </c>
      <c r="F11" s="303">
        <v>3.9</v>
      </c>
      <c r="G11" s="303">
        <v>4</v>
      </c>
      <c r="H11" s="303" t="s">
        <v>944</v>
      </c>
      <c r="I11" s="303" t="s">
        <v>942</v>
      </c>
      <c r="J11" s="303" t="s">
        <v>941</v>
      </c>
      <c r="K11" s="303">
        <v>4</v>
      </c>
      <c r="L11" s="303">
        <v>4.7</v>
      </c>
      <c r="M11" s="303">
        <v>3.6</v>
      </c>
      <c r="N11" s="303">
        <v>4.5</v>
      </c>
      <c r="O11" s="303">
        <v>5</v>
      </c>
      <c r="P11" s="303">
        <v>4</v>
      </c>
      <c r="Q11" s="303">
        <v>2.8</v>
      </c>
      <c r="R11" s="303">
        <v>2.6</v>
      </c>
      <c r="S11" s="303">
        <v>3</v>
      </c>
      <c r="T11" s="303" t="s">
        <v>943</v>
      </c>
      <c r="U11" s="304">
        <v>45378</v>
      </c>
    </row>
    <row r="12" spans="1:21" s="305" customFormat="1" ht="11" x14ac:dyDescent="0.15">
      <c r="A12" s="303" t="s">
        <v>818</v>
      </c>
      <c r="B12" s="303" t="s">
        <v>819</v>
      </c>
      <c r="C12" s="303" t="s">
        <v>564</v>
      </c>
      <c r="D12" s="303" t="s">
        <v>565</v>
      </c>
      <c r="E12" s="303" t="s">
        <v>809</v>
      </c>
      <c r="F12" s="303">
        <v>1.8</v>
      </c>
      <c r="G12" s="303">
        <v>2</v>
      </c>
      <c r="H12" s="303" t="s">
        <v>951</v>
      </c>
      <c r="I12" s="303" t="s">
        <v>945</v>
      </c>
      <c r="J12" s="303" t="s">
        <v>944</v>
      </c>
      <c r="K12" s="303">
        <v>3.1</v>
      </c>
      <c r="L12" s="303">
        <v>4</v>
      </c>
      <c r="M12" s="303">
        <v>2.5</v>
      </c>
      <c r="N12" s="303">
        <v>1.2</v>
      </c>
      <c r="O12" s="303">
        <v>1.4</v>
      </c>
      <c r="P12" s="303">
        <v>1</v>
      </c>
      <c r="Q12" s="303">
        <v>1.4</v>
      </c>
      <c r="R12" s="303">
        <v>1.8</v>
      </c>
      <c r="S12" s="303">
        <v>1</v>
      </c>
      <c r="T12" s="303" t="s">
        <v>952</v>
      </c>
      <c r="U12" s="304">
        <v>45379</v>
      </c>
    </row>
    <row r="13" spans="1:21" s="305" customFormat="1" ht="11" x14ac:dyDescent="0.15">
      <c r="A13" s="303" t="s">
        <v>820</v>
      </c>
      <c r="B13" s="303" t="s">
        <v>822</v>
      </c>
      <c r="C13" s="303" t="s">
        <v>566</v>
      </c>
      <c r="D13" s="303" t="s">
        <v>567</v>
      </c>
      <c r="E13" s="303" t="s">
        <v>821</v>
      </c>
      <c r="F13" s="303">
        <v>1.9</v>
      </c>
      <c r="G13" s="303">
        <v>2</v>
      </c>
      <c r="H13" s="303" t="s">
        <v>951</v>
      </c>
      <c r="I13" s="303" t="s">
        <v>949</v>
      </c>
      <c r="J13" s="303" t="s">
        <v>941</v>
      </c>
      <c r="K13" s="303">
        <v>2.6</v>
      </c>
      <c r="L13" s="303">
        <v>4.3</v>
      </c>
      <c r="M13" s="303">
        <v>1.3</v>
      </c>
      <c r="N13" s="303">
        <v>1.05</v>
      </c>
      <c r="O13" s="303">
        <v>1.1000000000000001</v>
      </c>
      <c r="P13" s="303">
        <v>1</v>
      </c>
      <c r="Q13" s="303">
        <v>2.4</v>
      </c>
      <c r="R13" s="303">
        <v>2.2000000000000002</v>
      </c>
      <c r="S13" s="303">
        <v>2.5</v>
      </c>
      <c r="T13" s="303" t="s">
        <v>952</v>
      </c>
      <c r="U13" s="304">
        <v>45379</v>
      </c>
    </row>
    <row r="14" spans="1:21" s="305" customFormat="1" ht="11" x14ac:dyDescent="0.15">
      <c r="A14" s="303" t="s">
        <v>179</v>
      </c>
      <c r="B14" s="303" t="s">
        <v>180</v>
      </c>
      <c r="C14" s="303" t="s">
        <v>181</v>
      </c>
      <c r="D14" s="303" t="s">
        <v>182</v>
      </c>
      <c r="E14" s="303" t="s">
        <v>823</v>
      </c>
      <c r="F14" s="303">
        <v>2.2999999999999998</v>
      </c>
      <c r="G14" s="303">
        <v>3</v>
      </c>
      <c r="H14" s="303" t="s">
        <v>946</v>
      </c>
      <c r="I14" s="303" t="s">
        <v>942</v>
      </c>
      <c r="J14" s="303" t="s">
        <v>941</v>
      </c>
      <c r="K14" s="303">
        <v>2.7</v>
      </c>
      <c r="L14" s="303">
        <v>4.5</v>
      </c>
      <c r="M14" s="303">
        <v>1.1000000000000001</v>
      </c>
      <c r="N14" s="303">
        <v>2.15</v>
      </c>
      <c r="O14" s="303">
        <v>3.3</v>
      </c>
      <c r="P14" s="303">
        <v>1</v>
      </c>
      <c r="Q14" s="303">
        <v>2.2000000000000002</v>
      </c>
      <c r="R14" s="303">
        <v>1.9</v>
      </c>
      <c r="S14" s="303">
        <v>2.5</v>
      </c>
      <c r="T14" s="303" t="s">
        <v>953</v>
      </c>
      <c r="U14" s="304">
        <v>45382</v>
      </c>
    </row>
    <row r="15" spans="1:21" s="305" customFormat="1" ht="11" x14ac:dyDescent="0.15">
      <c r="A15" s="303" t="s">
        <v>185</v>
      </c>
      <c r="B15" s="303" t="s">
        <v>186</v>
      </c>
      <c r="C15" s="303" t="s">
        <v>75</v>
      </c>
      <c r="D15" s="303" t="s">
        <v>76</v>
      </c>
      <c r="E15" s="303" t="s">
        <v>809</v>
      </c>
      <c r="F15" s="303">
        <v>4.0999999999999996</v>
      </c>
      <c r="G15" s="303">
        <v>5</v>
      </c>
      <c r="H15" s="303" t="s">
        <v>941</v>
      </c>
      <c r="I15" s="303" t="s">
        <v>949</v>
      </c>
      <c r="J15" s="303" t="s">
        <v>944</v>
      </c>
      <c r="K15" s="303">
        <v>4.3</v>
      </c>
      <c r="L15" s="303">
        <v>4.4000000000000004</v>
      </c>
      <c r="M15" s="303">
        <v>4.2</v>
      </c>
      <c r="N15" s="303">
        <v>4.0999999999999996</v>
      </c>
      <c r="O15" s="303">
        <v>4.2</v>
      </c>
      <c r="P15" s="303">
        <v>4</v>
      </c>
      <c r="Q15" s="303">
        <v>4</v>
      </c>
      <c r="R15" s="303">
        <v>3.9</v>
      </c>
      <c r="S15" s="303">
        <v>4</v>
      </c>
      <c r="T15" s="303" t="s">
        <v>947</v>
      </c>
      <c r="U15" s="304">
        <v>45379</v>
      </c>
    </row>
    <row r="16" spans="1:21" s="305" customFormat="1" ht="11" x14ac:dyDescent="0.15">
      <c r="A16" s="303" t="s">
        <v>187</v>
      </c>
      <c r="B16" s="303" t="s">
        <v>188</v>
      </c>
      <c r="C16" s="303" t="s">
        <v>189</v>
      </c>
      <c r="D16" s="303" t="s">
        <v>190</v>
      </c>
      <c r="E16" s="303" t="s">
        <v>824</v>
      </c>
      <c r="F16" s="303">
        <v>2.6</v>
      </c>
      <c r="G16" s="303">
        <v>3</v>
      </c>
      <c r="H16" s="303" t="s">
        <v>946</v>
      </c>
      <c r="I16" s="303" t="s">
        <v>949</v>
      </c>
      <c r="J16" s="303" t="s">
        <v>941</v>
      </c>
      <c r="K16" s="303">
        <v>3.8</v>
      </c>
      <c r="L16" s="303">
        <v>4.8</v>
      </c>
      <c r="M16" s="303">
        <v>3</v>
      </c>
      <c r="N16" s="303">
        <v>2.2999999999999998</v>
      </c>
      <c r="O16" s="303">
        <v>2.6</v>
      </c>
      <c r="P16" s="303">
        <v>2</v>
      </c>
      <c r="Q16" s="303">
        <v>2</v>
      </c>
      <c r="R16" s="303">
        <v>1.5</v>
      </c>
      <c r="S16" s="303">
        <v>2.5</v>
      </c>
      <c r="T16" s="303" t="s">
        <v>953</v>
      </c>
      <c r="U16" s="304">
        <v>45351</v>
      </c>
    </row>
    <row r="17" spans="1:21" s="305" customFormat="1" ht="11" x14ac:dyDescent="0.15">
      <c r="A17" s="303" t="s">
        <v>191</v>
      </c>
      <c r="B17" s="303" t="s">
        <v>192</v>
      </c>
      <c r="C17" s="303" t="s">
        <v>92</v>
      </c>
      <c r="D17" s="303" t="s">
        <v>93</v>
      </c>
      <c r="E17" s="303" t="s">
        <v>809</v>
      </c>
      <c r="F17" s="303">
        <v>4.0999999999999996</v>
      </c>
      <c r="G17" s="303">
        <v>5</v>
      </c>
      <c r="H17" s="303" t="s">
        <v>941</v>
      </c>
      <c r="I17" s="303" t="s">
        <v>949</v>
      </c>
      <c r="J17" s="303" t="s">
        <v>941</v>
      </c>
      <c r="K17" s="303">
        <v>4.0999999999999996</v>
      </c>
      <c r="L17" s="303">
        <v>4.7</v>
      </c>
      <c r="M17" s="303">
        <v>3.7</v>
      </c>
      <c r="N17" s="303">
        <v>4.1500000000000004</v>
      </c>
      <c r="O17" s="303">
        <v>4.3</v>
      </c>
      <c r="P17" s="303">
        <v>4</v>
      </c>
      <c r="Q17" s="303">
        <v>3.9</v>
      </c>
      <c r="R17" s="303">
        <v>3.7</v>
      </c>
      <c r="S17" s="303">
        <v>4</v>
      </c>
      <c r="T17" s="303" t="s">
        <v>947</v>
      </c>
      <c r="U17" s="304">
        <v>45379</v>
      </c>
    </row>
    <row r="18" spans="1:21" s="305" customFormat="1" ht="11" x14ac:dyDescent="0.15">
      <c r="A18" s="303" t="s">
        <v>198</v>
      </c>
      <c r="B18" s="303" t="s">
        <v>199</v>
      </c>
      <c r="C18" s="303" t="s">
        <v>63</v>
      </c>
      <c r="D18" s="303" t="s">
        <v>64</v>
      </c>
      <c r="E18" s="303" t="s">
        <v>828</v>
      </c>
      <c r="F18" s="303">
        <v>4.4000000000000004</v>
      </c>
      <c r="G18" s="303">
        <v>5</v>
      </c>
      <c r="H18" s="303" t="s">
        <v>941</v>
      </c>
      <c r="I18" s="303" t="s">
        <v>949</v>
      </c>
      <c r="J18" s="303" t="s">
        <v>941</v>
      </c>
      <c r="K18" s="303">
        <v>4.4000000000000004</v>
      </c>
      <c r="L18" s="303">
        <v>5</v>
      </c>
      <c r="M18" s="303">
        <v>4</v>
      </c>
      <c r="N18" s="303">
        <v>4.5</v>
      </c>
      <c r="O18" s="303">
        <v>5</v>
      </c>
      <c r="P18" s="303">
        <v>4</v>
      </c>
      <c r="Q18" s="303">
        <v>4.0999999999999996</v>
      </c>
      <c r="R18" s="303">
        <v>4.2</v>
      </c>
      <c r="S18" s="303">
        <v>4</v>
      </c>
      <c r="T18" s="303" t="s">
        <v>947</v>
      </c>
      <c r="U18" s="304">
        <v>45379</v>
      </c>
    </row>
    <row r="19" spans="1:21" s="305" customFormat="1" ht="11" x14ac:dyDescent="0.15">
      <c r="A19" s="303" t="s">
        <v>200</v>
      </c>
      <c r="B19" s="303" t="s">
        <v>201</v>
      </c>
      <c r="C19" s="303" t="s">
        <v>202</v>
      </c>
      <c r="D19" s="303" t="s">
        <v>203</v>
      </c>
      <c r="E19" s="303" t="s">
        <v>165</v>
      </c>
      <c r="F19" s="303">
        <v>2.2999999999999998</v>
      </c>
      <c r="G19" s="303">
        <v>3</v>
      </c>
      <c r="H19" s="303" t="s">
        <v>946</v>
      </c>
      <c r="I19" s="303" t="s">
        <v>949</v>
      </c>
      <c r="J19" s="303" t="s">
        <v>944</v>
      </c>
      <c r="K19" s="303">
        <v>2.9</v>
      </c>
      <c r="L19" s="303">
        <v>4.2</v>
      </c>
      <c r="M19" s="303">
        <v>1.9</v>
      </c>
      <c r="N19" s="303">
        <v>1.95</v>
      </c>
      <c r="O19" s="303">
        <v>1.9</v>
      </c>
      <c r="P19" s="303">
        <v>2</v>
      </c>
      <c r="Q19" s="303">
        <v>2.2999999999999998</v>
      </c>
      <c r="R19" s="303">
        <v>2.6</v>
      </c>
      <c r="S19" s="303">
        <v>2</v>
      </c>
      <c r="T19" s="303" t="s">
        <v>947</v>
      </c>
      <c r="U19" s="304">
        <v>45379</v>
      </c>
    </row>
    <row r="20" spans="1:21" s="305" customFormat="1" ht="11" x14ac:dyDescent="0.15">
      <c r="A20" s="303" t="s">
        <v>204</v>
      </c>
      <c r="B20" s="303" t="s">
        <v>205</v>
      </c>
      <c r="C20" s="303" t="s">
        <v>104</v>
      </c>
      <c r="D20" s="303" t="s">
        <v>105</v>
      </c>
      <c r="E20" s="303" t="s">
        <v>829</v>
      </c>
      <c r="F20" s="303">
        <v>4</v>
      </c>
      <c r="G20" s="303">
        <v>4</v>
      </c>
      <c r="H20" s="303" t="s">
        <v>944</v>
      </c>
      <c r="I20" s="303" t="s">
        <v>945</v>
      </c>
      <c r="J20" s="303" t="s">
        <v>941</v>
      </c>
      <c r="K20" s="303">
        <v>4.4000000000000004</v>
      </c>
      <c r="L20" s="303">
        <v>5</v>
      </c>
      <c r="M20" s="303">
        <v>4</v>
      </c>
      <c r="N20" s="303">
        <v>4.4000000000000004</v>
      </c>
      <c r="O20" s="303">
        <v>4.8</v>
      </c>
      <c r="P20" s="303">
        <v>4</v>
      </c>
      <c r="Q20" s="303">
        <v>3</v>
      </c>
      <c r="R20" s="303">
        <v>2.9</v>
      </c>
      <c r="S20" s="303">
        <v>3</v>
      </c>
      <c r="T20" s="303" t="s">
        <v>953</v>
      </c>
      <c r="U20" s="304">
        <v>45322</v>
      </c>
    </row>
    <row r="21" spans="1:21" s="305" customFormat="1" ht="11" x14ac:dyDescent="0.15">
      <c r="A21" s="303" t="s">
        <v>208</v>
      </c>
      <c r="B21" s="303" t="s">
        <v>209</v>
      </c>
      <c r="C21" s="303" t="s">
        <v>210</v>
      </c>
      <c r="D21" s="303" t="s">
        <v>211</v>
      </c>
      <c r="E21" s="303" t="s">
        <v>824</v>
      </c>
      <c r="F21" s="303">
        <v>2.2000000000000002</v>
      </c>
      <c r="G21" s="303">
        <v>3</v>
      </c>
      <c r="H21" s="303" t="s">
        <v>946</v>
      </c>
      <c r="I21" s="303" t="s">
        <v>945</v>
      </c>
      <c r="J21" s="303" t="s">
        <v>944</v>
      </c>
      <c r="K21" s="303">
        <v>2.2999999999999998</v>
      </c>
      <c r="L21" s="303">
        <v>0.9</v>
      </c>
      <c r="M21" s="303">
        <v>2.9</v>
      </c>
      <c r="N21" s="303">
        <v>2.65</v>
      </c>
      <c r="O21" s="303">
        <v>2.2999999999999998</v>
      </c>
      <c r="P21" s="303">
        <v>3</v>
      </c>
      <c r="Q21" s="303">
        <v>1.5</v>
      </c>
      <c r="R21" s="303">
        <v>1.4</v>
      </c>
      <c r="S21" s="303">
        <v>1.5</v>
      </c>
      <c r="T21" s="303" t="s">
        <v>953</v>
      </c>
      <c r="U21" s="304">
        <v>45322</v>
      </c>
    </row>
    <row r="22" spans="1:21" s="305" customFormat="1" ht="11" x14ac:dyDescent="0.15">
      <c r="A22" s="303" t="s">
        <v>830</v>
      </c>
      <c r="B22" s="303" t="s">
        <v>831</v>
      </c>
      <c r="C22" s="303" t="s">
        <v>568</v>
      </c>
      <c r="D22" s="303" t="s">
        <v>569</v>
      </c>
      <c r="E22" s="303" t="s">
        <v>809</v>
      </c>
      <c r="F22" s="303">
        <v>1.8</v>
      </c>
      <c r="G22" s="303">
        <v>2</v>
      </c>
      <c r="H22" s="303" t="s">
        <v>951</v>
      </c>
      <c r="I22" s="303" t="s">
        <v>949</v>
      </c>
      <c r="J22" s="303" t="s">
        <v>941</v>
      </c>
      <c r="K22" s="303">
        <v>2.9</v>
      </c>
      <c r="L22" s="303">
        <v>4.2</v>
      </c>
      <c r="M22" s="303">
        <v>2</v>
      </c>
      <c r="N22" s="303">
        <v>1.8</v>
      </c>
      <c r="O22" s="303">
        <v>2.6</v>
      </c>
      <c r="P22" s="303">
        <v>1</v>
      </c>
      <c r="Q22" s="303">
        <v>0.8</v>
      </c>
      <c r="R22" s="303">
        <v>0.6</v>
      </c>
      <c r="S22" s="303">
        <v>1</v>
      </c>
      <c r="T22" s="303" t="s">
        <v>952</v>
      </c>
      <c r="U22" s="304">
        <v>45379</v>
      </c>
    </row>
    <row r="23" spans="1:21" s="305" customFormat="1" ht="11" x14ac:dyDescent="0.15">
      <c r="A23" s="303" t="s">
        <v>212</v>
      </c>
      <c r="B23" s="303" t="s">
        <v>213</v>
      </c>
      <c r="C23" s="303" t="s">
        <v>214</v>
      </c>
      <c r="D23" s="303" t="s">
        <v>215</v>
      </c>
      <c r="E23" s="303" t="s">
        <v>832</v>
      </c>
      <c r="F23" s="303">
        <v>2.9</v>
      </c>
      <c r="G23" s="303">
        <v>3</v>
      </c>
      <c r="H23" s="303" t="s">
        <v>946</v>
      </c>
      <c r="I23" s="303" t="s">
        <v>949</v>
      </c>
      <c r="J23" s="303" t="s">
        <v>941</v>
      </c>
      <c r="K23" s="303">
        <v>2.4</v>
      </c>
      <c r="L23" s="303">
        <v>3.2</v>
      </c>
      <c r="M23" s="303">
        <v>1.9</v>
      </c>
      <c r="N23" s="303">
        <v>3.25</v>
      </c>
      <c r="O23" s="303">
        <v>2.5</v>
      </c>
      <c r="P23" s="303">
        <v>4</v>
      </c>
      <c r="Q23" s="303">
        <v>2.6</v>
      </c>
      <c r="R23" s="303">
        <v>2.1</v>
      </c>
      <c r="S23" s="303">
        <v>3</v>
      </c>
      <c r="T23" s="303" t="s">
        <v>947</v>
      </c>
      <c r="U23" s="304">
        <v>45381</v>
      </c>
    </row>
    <row r="24" spans="1:21" s="305" customFormat="1" ht="11" x14ac:dyDescent="0.15">
      <c r="A24" s="303" t="s">
        <v>221</v>
      </c>
      <c r="B24" s="303" t="s">
        <v>222</v>
      </c>
      <c r="C24" s="303" t="s">
        <v>223</v>
      </c>
      <c r="D24" s="303" t="s">
        <v>224</v>
      </c>
      <c r="E24" s="303" t="s">
        <v>824</v>
      </c>
      <c r="F24" s="303">
        <v>1.8</v>
      </c>
      <c r="G24" s="303">
        <v>2</v>
      </c>
      <c r="H24" s="303" t="s">
        <v>951</v>
      </c>
      <c r="I24" s="303" t="s">
        <v>949</v>
      </c>
      <c r="J24" s="303" t="s">
        <v>944</v>
      </c>
      <c r="K24" s="303">
        <v>3.2</v>
      </c>
      <c r="L24" s="303">
        <v>4.0999999999999996</v>
      </c>
      <c r="M24" s="303">
        <v>2.7</v>
      </c>
      <c r="N24" s="303">
        <v>1.4</v>
      </c>
      <c r="O24" s="303">
        <v>1.8</v>
      </c>
      <c r="P24" s="303">
        <v>1</v>
      </c>
      <c r="Q24" s="303">
        <v>1.2</v>
      </c>
      <c r="R24" s="303">
        <v>1.4</v>
      </c>
      <c r="S24" s="303">
        <v>1</v>
      </c>
      <c r="T24" s="303" t="s">
        <v>953</v>
      </c>
      <c r="U24" s="304">
        <v>45381</v>
      </c>
    </row>
    <row r="25" spans="1:21" s="305" customFormat="1" ht="11" x14ac:dyDescent="0.15">
      <c r="A25" s="303" t="s">
        <v>231</v>
      </c>
      <c r="B25" s="303" t="s">
        <v>232</v>
      </c>
      <c r="C25" s="303" t="s">
        <v>227</v>
      </c>
      <c r="D25" s="303" t="s">
        <v>228</v>
      </c>
      <c r="E25" s="303" t="s">
        <v>824</v>
      </c>
      <c r="F25" s="303">
        <v>2.7</v>
      </c>
      <c r="G25" s="303">
        <v>3</v>
      </c>
      <c r="H25" s="303" t="s">
        <v>946</v>
      </c>
      <c r="I25" s="303" t="s">
        <v>945</v>
      </c>
      <c r="J25" s="303" t="s">
        <v>944</v>
      </c>
      <c r="K25" s="303">
        <v>3.9</v>
      </c>
      <c r="L25" s="303">
        <v>5</v>
      </c>
      <c r="M25" s="303">
        <v>3.1</v>
      </c>
      <c r="N25" s="303">
        <v>1.8</v>
      </c>
      <c r="O25" s="303">
        <v>2.6</v>
      </c>
      <c r="P25" s="303">
        <v>1</v>
      </c>
      <c r="Q25" s="303">
        <v>2.7</v>
      </c>
      <c r="R25" s="303">
        <v>2.9</v>
      </c>
      <c r="S25" s="303">
        <v>2.5</v>
      </c>
      <c r="T25" s="303" t="s">
        <v>947</v>
      </c>
      <c r="U25" s="304">
        <v>45364</v>
      </c>
    </row>
    <row r="26" spans="1:21" s="305" customFormat="1" ht="11" x14ac:dyDescent="0.15">
      <c r="A26" s="303" t="s">
        <v>233</v>
      </c>
      <c r="B26" s="303" t="s">
        <v>234</v>
      </c>
      <c r="C26" s="303" t="s">
        <v>235</v>
      </c>
      <c r="D26" s="303" t="s">
        <v>236</v>
      </c>
      <c r="E26" s="303" t="s">
        <v>824</v>
      </c>
      <c r="F26" s="303">
        <v>2.6</v>
      </c>
      <c r="G26" s="303">
        <v>3</v>
      </c>
      <c r="H26" s="303" t="s">
        <v>946</v>
      </c>
      <c r="I26" s="303" t="s">
        <v>949</v>
      </c>
      <c r="J26" s="303" t="s">
        <v>944</v>
      </c>
      <c r="K26" s="303">
        <v>3.3</v>
      </c>
      <c r="L26" s="303">
        <v>4.5999999999999996</v>
      </c>
      <c r="M26" s="303">
        <v>2.4</v>
      </c>
      <c r="N26" s="303">
        <v>2.35</v>
      </c>
      <c r="O26" s="303">
        <v>2.7</v>
      </c>
      <c r="P26" s="303">
        <v>2</v>
      </c>
      <c r="Q26" s="303">
        <v>2.2999999999999998</v>
      </c>
      <c r="R26" s="303">
        <v>2.1</v>
      </c>
      <c r="S26" s="303">
        <v>2.5</v>
      </c>
      <c r="T26" s="303" t="s">
        <v>953</v>
      </c>
      <c r="U26" s="304">
        <v>45351</v>
      </c>
    </row>
    <row r="27" spans="1:21" s="305" customFormat="1" ht="11" x14ac:dyDescent="0.15">
      <c r="A27" s="303" t="s">
        <v>833</v>
      </c>
      <c r="B27" s="303" t="s">
        <v>834</v>
      </c>
      <c r="C27" s="303" t="s">
        <v>237</v>
      </c>
      <c r="D27" s="303" t="s">
        <v>238</v>
      </c>
      <c r="E27" s="303" t="s">
        <v>821</v>
      </c>
      <c r="F27" s="303">
        <v>2.2999999999999998</v>
      </c>
      <c r="G27" s="303">
        <v>3</v>
      </c>
      <c r="H27" s="303" t="s">
        <v>946</v>
      </c>
      <c r="I27" s="303" t="s">
        <v>945</v>
      </c>
      <c r="J27" s="303" t="s">
        <v>944</v>
      </c>
      <c r="K27" s="303">
        <v>2.9</v>
      </c>
      <c r="L27" s="303">
        <v>3.9</v>
      </c>
      <c r="M27" s="303">
        <v>2.2999999999999998</v>
      </c>
      <c r="N27" s="303">
        <v>1.95</v>
      </c>
      <c r="O27" s="303">
        <v>2.9</v>
      </c>
      <c r="P27" s="303">
        <v>1</v>
      </c>
      <c r="Q27" s="303">
        <v>2.2999999999999998</v>
      </c>
      <c r="R27" s="303">
        <v>2.5</v>
      </c>
      <c r="S27" s="303">
        <v>2</v>
      </c>
      <c r="T27" s="303" t="s">
        <v>947</v>
      </c>
      <c r="U27" s="304">
        <v>45364</v>
      </c>
    </row>
    <row r="28" spans="1:21" s="305" customFormat="1" ht="11" x14ac:dyDescent="0.15">
      <c r="A28" s="303" t="s">
        <v>239</v>
      </c>
      <c r="B28" s="303" t="s">
        <v>240</v>
      </c>
      <c r="C28" s="303" t="s">
        <v>241</v>
      </c>
      <c r="D28" s="303" t="s">
        <v>242</v>
      </c>
      <c r="E28" s="303" t="s">
        <v>835</v>
      </c>
      <c r="F28" s="303">
        <v>3.6</v>
      </c>
      <c r="G28" s="303">
        <v>4</v>
      </c>
      <c r="H28" s="303" t="s">
        <v>944</v>
      </c>
      <c r="I28" s="303" t="s">
        <v>945</v>
      </c>
      <c r="J28" s="303" t="s">
        <v>944</v>
      </c>
      <c r="K28" s="303">
        <v>3.6</v>
      </c>
      <c r="L28" s="303">
        <v>3.9</v>
      </c>
      <c r="M28" s="303">
        <v>3.5</v>
      </c>
      <c r="N28" s="303">
        <v>3.2</v>
      </c>
      <c r="O28" s="303">
        <v>3.4</v>
      </c>
      <c r="P28" s="303">
        <v>3</v>
      </c>
      <c r="Q28" s="303">
        <v>4.0999999999999996</v>
      </c>
      <c r="R28" s="303">
        <v>4.0999999999999996</v>
      </c>
      <c r="S28" s="303">
        <v>4</v>
      </c>
      <c r="T28" s="303" t="s">
        <v>947</v>
      </c>
      <c r="U28" s="304">
        <v>45379</v>
      </c>
    </row>
    <row r="29" spans="1:21" s="305" customFormat="1" ht="11" x14ac:dyDescent="0.15">
      <c r="A29" s="303" t="s">
        <v>836</v>
      </c>
      <c r="B29" s="303" t="s">
        <v>243</v>
      </c>
      <c r="C29" s="303" t="s">
        <v>244</v>
      </c>
      <c r="D29" s="303" t="s">
        <v>245</v>
      </c>
      <c r="E29" s="303" t="s">
        <v>824</v>
      </c>
      <c r="F29" s="303">
        <v>1.8</v>
      </c>
      <c r="G29" s="303">
        <v>2</v>
      </c>
      <c r="H29" s="303" t="s">
        <v>951</v>
      </c>
      <c r="I29" s="303" t="s">
        <v>949</v>
      </c>
      <c r="J29" s="303" t="s">
        <v>944</v>
      </c>
      <c r="K29" s="303">
        <v>3.1</v>
      </c>
      <c r="L29" s="303">
        <v>4</v>
      </c>
      <c r="M29" s="303">
        <v>2.6</v>
      </c>
      <c r="N29" s="303">
        <v>1.2</v>
      </c>
      <c r="O29" s="303">
        <v>1.4</v>
      </c>
      <c r="P29" s="303">
        <v>1</v>
      </c>
      <c r="Q29" s="303">
        <v>1.6</v>
      </c>
      <c r="R29" s="303">
        <v>1.7</v>
      </c>
      <c r="S29" s="303">
        <v>1.5</v>
      </c>
      <c r="T29" s="303" t="s">
        <v>952</v>
      </c>
      <c r="U29" s="304">
        <v>45364</v>
      </c>
    </row>
    <row r="30" spans="1:21" s="305" customFormat="1" ht="11" x14ac:dyDescent="0.15">
      <c r="A30" s="303" t="s">
        <v>837</v>
      </c>
      <c r="B30" s="303" t="s">
        <v>838</v>
      </c>
      <c r="C30" s="303" t="s">
        <v>570</v>
      </c>
      <c r="D30" s="303" t="s">
        <v>571</v>
      </c>
      <c r="E30" s="303" t="s">
        <v>809</v>
      </c>
      <c r="F30" s="303">
        <v>1.2</v>
      </c>
      <c r="G30" s="303">
        <v>2</v>
      </c>
      <c r="H30" s="303" t="s">
        <v>951</v>
      </c>
      <c r="I30" s="303" t="s">
        <v>942</v>
      </c>
      <c r="J30" s="303" t="s">
        <v>941</v>
      </c>
      <c r="K30" s="303">
        <v>2.1</v>
      </c>
      <c r="L30" s="303">
        <v>3.4</v>
      </c>
      <c r="M30" s="303">
        <v>1.3</v>
      </c>
      <c r="N30" s="303">
        <v>1</v>
      </c>
      <c r="O30" s="303">
        <v>1</v>
      </c>
      <c r="P30" s="303">
        <v>1</v>
      </c>
      <c r="Q30" s="303">
        <v>0.8</v>
      </c>
      <c r="R30" s="303">
        <v>0.6</v>
      </c>
      <c r="S30" s="303">
        <v>1</v>
      </c>
      <c r="T30" s="303" t="s">
        <v>952</v>
      </c>
      <c r="U30" s="304">
        <v>45379</v>
      </c>
    </row>
    <row r="31" spans="1:21" s="305" customFormat="1" ht="11" x14ac:dyDescent="0.15">
      <c r="A31" s="303" t="s">
        <v>247</v>
      </c>
      <c r="B31" s="303" t="s">
        <v>248</v>
      </c>
      <c r="C31" s="303" t="s">
        <v>61</v>
      </c>
      <c r="D31" s="303" t="s">
        <v>62</v>
      </c>
      <c r="E31" s="303" t="s">
        <v>839</v>
      </c>
      <c r="F31" s="303">
        <v>4.0999999999999996</v>
      </c>
      <c r="G31" s="303">
        <v>5</v>
      </c>
      <c r="H31" s="303" t="s">
        <v>941</v>
      </c>
      <c r="I31" s="303" t="s">
        <v>949</v>
      </c>
      <c r="J31" s="303" t="s">
        <v>944</v>
      </c>
      <c r="K31" s="303">
        <v>4.3</v>
      </c>
      <c r="L31" s="303">
        <v>5</v>
      </c>
      <c r="M31" s="303">
        <v>3.8</v>
      </c>
      <c r="N31" s="303">
        <v>4</v>
      </c>
      <c r="O31" s="303">
        <v>5</v>
      </c>
      <c r="P31" s="303">
        <v>3</v>
      </c>
      <c r="Q31" s="303">
        <v>4.2</v>
      </c>
      <c r="R31" s="303">
        <v>3.8</v>
      </c>
      <c r="S31" s="303">
        <v>4.5</v>
      </c>
      <c r="T31" s="303" t="s">
        <v>947</v>
      </c>
      <c r="U31" s="304">
        <v>45381</v>
      </c>
    </row>
    <row r="32" spans="1:21" s="305" customFormat="1" ht="11" x14ac:dyDescent="0.15">
      <c r="A32" s="303" t="s">
        <v>255</v>
      </c>
      <c r="B32" s="303" t="s">
        <v>256</v>
      </c>
      <c r="C32" s="303" t="s">
        <v>257</v>
      </c>
      <c r="D32" s="303" t="s">
        <v>258</v>
      </c>
      <c r="E32" s="303" t="s">
        <v>824</v>
      </c>
      <c r="F32" s="303">
        <v>2.2000000000000002</v>
      </c>
      <c r="G32" s="303">
        <v>3</v>
      </c>
      <c r="H32" s="303" t="s">
        <v>946</v>
      </c>
      <c r="I32" s="303" t="s">
        <v>942</v>
      </c>
      <c r="J32" s="303" t="s">
        <v>944</v>
      </c>
      <c r="K32" s="303">
        <v>2</v>
      </c>
      <c r="L32" s="303">
        <v>0.6</v>
      </c>
      <c r="M32" s="303">
        <v>2.6</v>
      </c>
      <c r="N32" s="303">
        <v>2.5499999999999998</v>
      </c>
      <c r="O32" s="303">
        <v>2.1</v>
      </c>
      <c r="P32" s="303">
        <v>3</v>
      </c>
      <c r="Q32" s="303">
        <v>1.9</v>
      </c>
      <c r="R32" s="303">
        <v>1.7</v>
      </c>
      <c r="S32" s="303">
        <v>2</v>
      </c>
      <c r="T32" s="303" t="s">
        <v>952</v>
      </c>
      <c r="U32" s="304">
        <v>45382</v>
      </c>
    </row>
    <row r="33" spans="1:21" s="305" customFormat="1" ht="11" x14ac:dyDescent="0.15">
      <c r="A33" s="303" t="s">
        <v>259</v>
      </c>
      <c r="B33" s="303" t="s">
        <v>260</v>
      </c>
      <c r="C33" s="303" t="s">
        <v>102</v>
      </c>
      <c r="D33" s="303" t="s">
        <v>103</v>
      </c>
      <c r="E33" s="303" t="s">
        <v>840</v>
      </c>
      <c r="F33" s="303">
        <v>3.5</v>
      </c>
      <c r="G33" s="303">
        <v>4</v>
      </c>
      <c r="H33" s="303" t="s">
        <v>944</v>
      </c>
      <c r="I33" s="303" t="s">
        <v>949</v>
      </c>
      <c r="J33" s="303" t="s">
        <v>944</v>
      </c>
      <c r="K33" s="303">
        <v>3.4</v>
      </c>
      <c r="L33" s="303">
        <v>4.4000000000000004</v>
      </c>
      <c r="M33" s="303">
        <v>2.7</v>
      </c>
      <c r="N33" s="303">
        <v>3.75</v>
      </c>
      <c r="O33" s="303">
        <v>4.5</v>
      </c>
      <c r="P33" s="303">
        <v>3</v>
      </c>
      <c r="Q33" s="303">
        <v>3.1</v>
      </c>
      <c r="R33" s="303">
        <v>3.1</v>
      </c>
      <c r="S33" s="303">
        <v>3</v>
      </c>
      <c r="T33" s="303" t="s">
        <v>953</v>
      </c>
      <c r="U33" s="304">
        <v>45322</v>
      </c>
    </row>
    <row r="34" spans="1:21" s="305" customFormat="1" ht="11" x14ac:dyDescent="0.15">
      <c r="A34" s="303" t="s">
        <v>261</v>
      </c>
      <c r="B34" s="303" t="s">
        <v>262</v>
      </c>
      <c r="C34" s="303" t="s">
        <v>108</v>
      </c>
      <c r="D34" s="303" t="s">
        <v>109</v>
      </c>
      <c r="E34" s="303" t="s">
        <v>840</v>
      </c>
      <c r="F34" s="303">
        <v>3.6</v>
      </c>
      <c r="G34" s="303">
        <v>4</v>
      </c>
      <c r="H34" s="303" t="s">
        <v>944</v>
      </c>
      <c r="I34" s="303" t="s">
        <v>949</v>
      </c>
      <c r="J34" s="303" t="s">
        <v>944</v>
      </c>
      <c r="K34" s="303">
        <v>3.7</v>
      </c>
      <c r="L34" s="303">
        <v>4.2</v>
      </c>
      <c r="M34" s="303">
        <v>3.4</v>
      </c>
      <c r="N34" s="303">
        <v>4.05</v>
      </c>
      <c r="O34" s="303">
        <v>4.0999999999999996</v>
      </c>
      <c r="P34" s="303">
        <v>4</v>
      </c>
      <c r="Q34" s="303">
        <v>2.7</v>
      </c>
      <c r="R34" s="303">
        <v>2.9</v>
      </c>
      <c r="S34" s="303">
        <v>2.5</v>
      </c>
      <c r="T34" s="303" t="s">
        <v>953</v>
      </c>
      <c r="U34" s="304">
        <v>45322</v>
      </c>
    </row>
    <row r="35" spans="1:21" s="305" customFormat="1" ht="11" x14ac:dyDescent="0.15">
      <c r="A35" s="303" t="s">
        <v>263</v>
      </c>
      <c r="B35" s="303" t="s">
        <v>264</v>
      </c>
      <c r="C35" s="303" t="s">
        <v>71</v>
      </c>
      <c r="D35" s="303" t="s">
        <v>72</v>
      </c>
      <c r="E35" s="303" t="s">
        <v>841</v>
      </c>
      <c r="F35" s="303">
        <v>4.3</v>
      </c>
      <c r="G35" s="303">
        <v>5</v>
      </c>
      <c r="H35" s="303" t="s">
        <v>941</v>
      </c>
      <c r="I35" s="303" t="s">
        <v>945</v>
      </c>
      <c r="J35" s="303" t="s">
        <v>944</v>
      </c>
      <c r="K35" s="303">
        <v>3.7</v>
      </c>
      <c r="L35" s="303">
        <v>4</v>
      </c>
      <c r="M35" s="303">
        <v>3.5</v>
      </c>
      <c r="N35" s="303">
        <v>4.8</v>
      </c>
      <c r="O35" s="303">
        <v>4.5999999999999996</v>
      </c>
      <c r="P35" s="303">
        <v>5</v>
      </c>
      <c r="Q35" s="303">
        <v>3.7</v>
      </c>
      <c r="R35" s="303">
        <v>3.3</v>
      </c>
      <c r="S35" s="303">
        <v>4</v>
      </c>
      <c r="T35" s="303" t="s">
        <v>953</v>
      </c>
      <c r="U35" s="304">
        <v>45322</v>
      </c>
    </row>
    <row r="36" spans="1:21" s="305" customFormat="1" ht="11" x14ac:dyDescent="0.15">
      <c r="A36" s="303" t="s">
        <v>842</v>
      </c>
      <c r="B36" s="303" t="s">
        <v>265</v>
      </c>
      <c r="C36" s="303" t="s">
        <v>266</v>
      </c>
      <c r="D36" s="303" t="s">
        <v>267</v>
      </c>
      <c r="E36" s="303" t="s">
        <v>809</v>
      </c>
      <c r="F36" s="303">
        <v>1.6</v>
      </c>
      <c r="G36" s="303">
        <v>2</v>
      </c>
      <c r="H36" s="303" t="s">
        <v>951</v>
      </c>
      <c r="I36" s="303" t="s">
        <v>945</v>
      </c>
      <c r="J36" s="303" t="s">
        <v>941</v>
      </c>
      <c r="K36" s="303">
        <v>2.6</v>
      </c>
      <c r="L36" s="303">
        <v>4.2</v>
      </c>
      <c r="M36" s="303">
        <v>1.4</v>
      </c>
      <c r="N36" s="303">
        <v>1.2</v>
      </c>
      <c r="O36" s="303">
        <v>1.4</v>
      </c>
      <c r="P36" s="303">
        <v>1</v>
      </c>
      <c r="Q36" s="303">
        <v>1.4</v>
      </c>
      <c r="R36" s="303">
        <v>1.2</v>
      </c>
      <c r="S36" s="303">
        <v>1.5</v>
      </c>
      <c r="T36" s="303" t="s">
        <v>952</v>
      </c>
      <c r="U36" s="304">
        <v>45379</v>
      </c>
    </row>
    <row r="37" spans="1:21" s="305" customFormat="1" ht="11" x14ac:dyDescent="0.15">
      <c r="A37" s="303" t="s">
        <v>268</v>
      </c>
      <c r="B37" s="303" t="s">
        <v>269</v>
      </c>
      <c r="C37" s="303" t="s">
        <v>270</v>
      </c>
      <c r="D37" s="303" t="s">
        <v>271</v>
      </c>
      <c r="E37" s="303" t="s">
        <v>843</v>
      </c>
      <c r="F37" s="303">
        <v>2.5</v>
      </c>
      <c r="G37" s="303">
        <v>3</v>
      </c>
      <c r="H37" s="303" t="s">
        <v>946</v>
      </c>
      <c r="I37" s="303" t="s">
        <v>949</v>
      </c>
      <c r="J37" s="303" t="s">
        <v>944</v>
      </c>
      <c r="K37" s="303">
        <v>3</v>
      </c>
      <c r="L37" s="303">
        <v>2.1</v>
      </c>
      <c r="M37" s="303">
        <v>3.4</v>
      </c>
      <c r="N37" s="303">
        <v>1.85</v>
      </c>
      <c r="O37" s="303">
        <v>1.7</v>
      </c>
      <c r="P37" s="303">
        <v>2</v>
      </c>
      <c r="Q37" s="303">
        <v>3.1</v>
      </c>
      <c r="R37" s="303">
        <v>2.6</v>
      </c>
      <c r="S37" s="303">
        <v>3.5</v>
      </c>
      <c r="T37" s="303" t="s">
        <v>943</v>
      </c>
      <c r="U37" s="304">
        <v>45378</v>
      </c>
    </row>
    <row r="38" spans="1:21" s="305" customFormat="1" ht="11" x14ac:dyDescent="0.15">
      <c r="A38" s="303" t="s">
        <v>274</v>
      </c>
      <c r="B38" s="303" t="s">
        <v>275</v>
      </c>
      <c r="C38" s="303" t="s">
        <v>276</v>
      </c>
      <c r="D38" s="303" t="s">
        <v>277</v>
      </c>
      <c r="E38" s="303" t="s">
        <v>824</v>
      </c>
      <c r="F38" s="303">
        <v>3.8</v>
      </c>
      <c r="G38" s="303">
        <v>4</v>
      </c>
      <c r="H38" s="303" t="s">
        <v>944</v>
      </c>
      <c r="I38" s="303" t="s">
        <v>949</v>
      </c>
      <c r="J38" s="303" t="s">
        <v>951</v>
      </c>
      <c r="K38" s="303">
        <v>3.6</v>
      </c>
      <c r="L38" s="303">
        <v>2.7</v>
      </c>
      <c r="M38" s="303">
        <v>4</v>
      </c>
      <c r="N38" s="303">
        <v>4.2</v>
      </c>
      <c r="O38" s="303">
        <v>4.4000000000000004</v>
      </c>
      <c r="P38" s="303">
        <v>4</v>
      </c>
      <c r="Q38" s="303">
        <v>3.2</v>
      </c>
      <c r="R38" s="303">
        <v>3.7</v>
      </c>
      <c r="S38" s="303">
        <v>2.5</v>
      </c>
      <c r="T38" s="303" t="s">
        <v>948</v>
      </c>
      <c r="U38" s="304">
        <v>45351</v>
      </c>
    </row>
    <row r="39" spans="1:21" s="305" customFormat="1" ht="11" x14ac:dyDescent="0.15">
      <c r="A39" s="303" t="s">
        <v>278</v>
      </c>
      <c r="B39" s="303" t="s">
        <v>279</v>
      </c>
      <c r="C39" s="303" t="s">
        <v>110</v>
      </c>
      <c r="D39" s="303" t="s">
        <v>111</v>
      </c>
      <c r="E39" s="303" t="s">
        <v>845</v>
      </c>
      <c r="F39" s="303">
        <v>3.8</v>
      </c>
      <c r="G39" s="303">
        <v>4</v>
      </c>
      <c r="H39" s="303" t="s">
        <v>944</v>
      </c>
      <c r="I39" s="303" t="s">
        <v>949</v>
      </c>
      <c r="J39" s="303" t="s">
        <v>944</v>
      </c>
      <c r="K39" s="303">
        <v>4.0999999999999996</v>
      </c>
      <c r="L39" s="303">
        <v>4.7</v>
      </c>
      <c r="M39" s="303">
        <v>3.8</v>
      </c>
      <c r="N39" s="303">
        <v>3.55</v>
      </c>
      <c r="O39" s="303">
        <v>4.0999999999999996</v>
      </c>
      <c r="P39" s="303">
        <v>3</v>
      </c>
      <c r="Q39" s="303">
        <v>3.8</v>
      </c>
      <c r="R39" s="303">
        <v>3.5</v>
      </c>
      <c r="S39" s="303">
        <v>4</v>
      </c>
      <c r="T39" s="303" t="s">
        <v>948</v>
      </c>
      <c r="U39" s="304">
        <v>45382</v>
      </c>
    </row>
    <row r="40" spans="1:21" s="305" customFormat="1" ht="11" x14ac:dyDescent="0.15">
      <c r="A40" s="303" t="s">
        <v>283</v>
      </c>
      <c r="B40" s="303" t="s">
        <v>284</v>
      </c>
      <c r="C40" s="303" t="s">
        <v>285</v>
      </c>
      <c r="D40" s="303" t="s">
        <v>286</v>
      </c>
      <c r="E40" s="303" t="s">
        <v>824</v>
      </c>
      <c r="F40" s="303">
        <v>2.1</v>
      </c>
      <c r="G40" s="303">
        <v>3</v>
      </c>
      <c r="H40" s="303" t="s">
        <v>946</v>
      </c>
      <c r="I40" s="303" t="s">
        <v>942</v>
      </c>
      <c r="J40" s="303" t="s">
        <v>944</v>
      </c>
      <c r="K40" s="303">
        <v>3.3</v>
      </c>
      <c r="L40" s="303">
        <v>3.9</v>
      </c>
      <c r="M40" s="303">
        <v>2.9</v>
      </c>
      <c r="N40" s="303">
        <v>1.5</v>
      </c>
      <c r="O40" s="303">
        <v>2</v>
      </c>
      <c r="P40" s="303">
        <v>1</v>
      </c>
      <c r="Q40" s="303">
        <v>2</v>
      </c>
      <c r="R40" s="303">
        <v>1.4</v>
      </c>
      <c r="S40" s="303">
        <v>2.5</v>
      </c>
      <c r="T40" s="303" t="s">
        <v>952</v>
      </c>
      <c r="U40" s="304">
        <v>45364</v>
      </c>
    </row>
    <row r="41" spans="1:21" s="305" customFormat="1" ht="11" x14ac:dyDescent="0.15">
      <c r="A41" s="303" t="s">
        <v>287</v>
      </c>
      <c r="B41" s="303" t="s">
        <v>288</v>
      </c>
      <c r="C41" s="303" t="s">
        <v>289</v>
      </c>
      <c r="D41" s="303" t="s">
        <v>290</v>
      </c>
      <c r="E41" s="303" t="s">
        <v>824</v>
      </c>
      <c r="F41" s="303">
        <v>2.8</v>
      </c>
      <c r="G41" s="303">
        <v>3</v>
      </c>
      <c r="H41" s="303" t="s">
        <v>946</v>
      </c>
      <c r="I41" s="303" t="s">
        <v>949</v>
      </c>
      <c r="J41" s="303" t="s">
        <v>944</v>
      </c>
      <c r="K41" s="303">
        <v>2.8</v>
      </c>
      <c r="L41" s="303">
        <v>3.1</v>
      </c>
      <c r="M41" s="303">
        <v>2.7</v>
      </c>
      <c r="N41" s="303">
        <v>3.3</v>
      </c>
      <c r="O41" s="303">
        <v>3.6</v>
      </c>
      <c r="P41" s="303">
        <v>3</v>
      </c>
      <c r="Q41" s="303">
        <v>2.1</v>
      </c>
      <c r="R41" s="303">
        <v>2.7</v>
      </c>
      <c r="S41" s="303">
        <v>1.5</v>
      </c>
      <c r="T41" s="303" t="s">
        <v>948</v>
      </c>
      <c r="U41" s="304">
        <v>45382</v>
      </c>
    </row>
    <row r="42" spans="1:21" s="305" customFormat="1" ht="11" x14ac:dyDescent="0.15">
      <c r="A42" s="303" t="s">
        <v>848</v>
      </c>
      <c r="B42" s="303" t="s">
        <v>291</v>
      </c>
      <c r="C42" s="303" t="s">
        <v>86</v>
      </c>
      <c r="D42" s="303" t="s">
        <v>87</v>
      </c>
      <c r="E42" s="303" t="s">
        <v>849</v>
      </c>
      <c r="F42" s="303">
        <v>3.5</v>
      </c>
      <c r="G42" s="303">
        <v>4</v>
      </c>
      <c r="H42" s="303" t="s">
        <v>944</v>
      </c>
      <c r="I42" s="303" t="s">
        <v>949</v>
      </c>
      <c r="J42" s="303" t="s">
        <v>944</v>
      </c>
      <c r="K42" s="303">
        <v>4.0999999999999996</v>
      </c>
      <c r="L42" s="303">
        <v>4.3</v>
      </c>
      <c r="M42" s="303">
        <v>4</v>
      </c>
      <c r="N42" s="303">
        <v>3.45</v>
      </c>
      <c r="O42" s="303">
        <v>3.9</v>
      </c>
      <c r="P42" s="303">
        <v>3</v>
      </c>
      <c r="Q42" s="303">
        <v>3.2</v>
      </c>
      <c r="R42" s="303">
        <v>3.4</v>
      </c>
      <c r="S42" s="303">
        <v>3</v>
      </c>
      <c r="T42" s="303" t="s">
        <v>947</v>
      </c>
      <c r="U42" s="304">
        <v>45379</v>
      </c>
    </row>
    <row r="43" spans="1:21" s="305" customFormat="1" ht="11" x14ac:dyDescent="0.15">
      <c r="A43" s="303" t="s">
        <v>298</v>
      </c>
      <c r="B43" s="303" t="s">
        <v>299</v>
      </c>
      <c r="C43" s="303" t="s">
        <v>112</v>
      </c>
      <c r="D43" s="303" t="s">
        <v>113</v>
      </c>
      <c r="E43" s="303" t="s">
        <v>850</v>
      </c>
      <c r="F43" s="303">
        <v>3.6</v>
      </c>
      <c r="G43" s="303">
        <v>4</v>
      </c>
      <c r="H43" s="303" t="s">
        <v>944</v>
      </c>
      <c r="I43" s="303" t="s">
        <v>945</v>
      </c>
      <c r="J43" s="303" t="s">
        <v>944</v>
      </c>
      <c r="K43" s="303">
        <v>4.2</v>
      </c>
      <c r="L43" s="303">
        <v>3.6</v>
      </c>
      <c r="M43" s="303">
        <v>4.4000000000000004</v>
      </c>
      <c r="N43" s="303">
        <v>3.65</v>
      </c>
      <c r="O43" s="303">
        <v>4.3</v>
      </c>
      <c r="P43" s="303">
        <v>3</v>
      </c>
      <c r="Q43" s="303">
        <v>3</v>
      </c>
      <c r="R43" s="303">
        <v>2.9</v>
      </c>
      <c r="S43" s="303">
        <v>3</v>
      </c>
      <c r="T43" s="303" t="s">
        <v>948</v>
      </c>
      <c r="U43" s="304">
        <v>45369</v>
      </c>
    </row>
    <row r="44" spans="1:21" s="305" customFormat="1" ht="11" x14ac:dyDescent="0.15">
      <c r="A44" s="303" t="s">
        <v>300</v>
      </c>
      <c r="B44" s="303" t="s">
        <v>301</v>
      </c>
      <c r="C44" s="303" t="s">
        <v>84</v>
      </c>
      <c r="D44" s="303" t="s">
        <v>85</v>
      </c>
      <c r="E44" s="303" t="s">
        <v>828</v>
      </c>
      <c r="F44" s="303">
        <v>3.8</v>
      </c>
      <c r="G44" s="303">
        <v>4</v>
      </c>
      <c r="H44" s="303" t="s">
        <v>944</v>
      </c>
      <c r="I44" s="303" t="s">
        <v>949</v>
      </c>
      <c r="J44" s="303" t="s">
        <v>941</v>
      </c>
      <c r="K44" s="303">
        <v>4.5999999999999996</v>
      </c>
      <c r="L44" s="303">
        <v>4.5</v>
      </c>
      <c r="M44" s="303">
        <v>4.7</v>
      </c>
      <c r="N44" s="303">
        <v>3.2</v>
      </c>
      <c r="O44" s="303">
        <v>3.4</v>
      </c>
      <c r="P44" s="303">
        <v>3</v>
      </c>
      <c r="Q44" s="303">
        <v>4</v>
      </c>
      <c r="R44" s="303">
        <v>3.4</v>
      </c>
      <c r="S44" s="303">
        <v>4.5</v>
      </c>
      <c r="T44" s="303" t="s">
        <v>947</v>
      </c>
      <c r="U44" s="304">
        <v>45364</v>
      </c>
    </row>
    <row r="45" spans="1:21" s="305" customFormat="1" ht="11" x14ac:dyDescent="0.15">
      <c r="A45" s="303" t="s">
        <v>854</v>
      </c>
      <c r="B45" s="303" t="s">
        <v>856</v>
      </c>
      <c r="C45" s="303" t="s">
        <v>306</v>
      </c>
      <c r="D45" s="303" t="s">
        <v>307</v>
      </c>
      <c r="E45" s="303" t="s">
        <v>855</v>
      </c>
      <c r="F45" s="303">
        <v>3</v>
      </c>
      <c r="G45" s="303">
        <v>3</v>
      </c>
      <c r="H45" s="303" t="s">
        <v>946</v>
      </c>
      <c r="I45" s="303" t="s">
        <v>942</v>
      </c>
      <c r="J45" s="303" t="s">
        <v>941</v>
      </c>
      <c r="K45" s="303">
        <v>2.9</v>
      </c>
      <c r="L45" s="303">
        <v>4.4000000000000004</v>
      </c>
      <c r="M45" s="303">
        <v>1.7</v>
      </c>
      <c r="N45" s="303">
        <v>3.75</v>
      </c>
      <c r="O45" s="303">
        <v>4.5</v>
      </c>
      <c r="P45" s="303">
        <v>3</v>
      </c>
      <c r="Q45" s="303">
        <v>1.9</v>
      </c>
      <c r="R45" s="303">
        <v>2.2000000000000002</v>
      </c>
      <c r="S45" s="303">
        <v>1.5</v>
      </c>
      <c r="T45" s="303" t="s">
        <v>943</v>
      </c>
      <c r="U45" s="304">
        <v>45382</v>
      </c>
    </row>
    <row r="46" spans="1:21" s="305" customFormat="1" ht="11" x14ac:dyDescent="0.15">
      <c r="A46" s="303" t="s">
        <v>860</v>
      </c>
      <c r="B46" s="303" t="s">
        <v>861</v>
      </c>
      <c r="C46" s="303" t="s">
        <v>574</v>
      </c>
      <c r="D46" s="303" t="s">
        <v>575</v>
      </c>
      <c r="E46" s="303" t="s">
        <v>809</v>
      </c>
      <c r="F46" s="303">
        <v>1.3</v>
      </c>
      <c r="G46" s="303">
        <v>2</v>
      </c>
      <c r="H46" s="303" t="s">
        <v>951</v>
      </c>
      <c r="I46" s="303" t="s">
        <v>949</v>
      </c>
      <c r="J46" s="303" t="s">
        <v>941</v>
      </c>
      <c r="K46" s="303">
        <v>2.2999999999999998</v>
      </c>
      <c r="L46" s="303">
        <v>3.7</v>
      </c>
      <c r="M46" s="303">
        <v>1.3</v>
      </c>
      <c r="N46" s="303">
        <v>1</v>
      </c>
      <c r="O46" s="303">
        <v>1</v>
      </c>
      <c r="P46" s="303">
        <v>1</v>
      </c>
      <c r="Q46" s="303">
        <v>0.9</v>
      </c>
      <c r="R46" s="303">
        <v>0.7</v>
      </c>
      <c r="S46" s="303">
        <v>1</v>
      </c>
      <c r="T46" s="303" t="s">
        <v>952</v>
      </c>
      <c r="U46" s="304">
        <v>45379</v>
      </c>
    </row>
    <row r="47" spans="1:21" s="305" customFormat="1" ht="11" x14ac:dyDescent="0.15">
      <c r="A47" s="303" t="s">
        <v>862</v>
      </c>
      <c r="B47" s="303" t="s">
        <v>863</v>
      </c>
      <c r="C47" s="303" t="s">
        <v>576</v>
      </c>
      <c r="D47" s="303" t="s">
        <v>577</v>
      </c>
      <c r="E47" s="303" t="s">
        <v>809</v>
      </c>
      <c r="F47" s="303">
        <v>1.3</v>
      </c>
      <c r="G47" s="303">
        <v>2</v>
      </c>
      <c r="H47" s="303" t="s">
        <v>951</v>
      </c>
      <c r="I47" s="303" t="s">
        <v>949</v>
      </c>
      <c r="J47" s="303" t="s">
        <v>941</v>
      </c>
      <c r="K47" s="303">
        <v>2.2000000000000002</v>
      </c>
      <c r="L47" s="303">
        <v>3.5</v>
      </c>
      <c r="M47" s="303">
        <v>1.4</v>
      </c>
      <c r="N47" s="303">
        <v>1.05</v>
      </c>
      <c r="O47" s="303">
        <v>1.1000000000000001</v>
      </c>
      <c r="P47" s="303">
        <v>1</v>
      </c>
      <c r="Q47" s="303">
        <v>1</v>
      </c>
      <c r="R47" s="303">
        <v>1</v>
      </c>
      <c r="S47" s="303">
        <v>1</v>
      </c>
      <c r="T47" s="303" t="s">
        <v>952</v>
      </c>
      <c r="U47" s="304">
        <v>45379</v>
      </c>
    </row>
    <row r="48" spans="1:21" s="305" customFormat="1" ht="11" x14ac:dyDescent="0.15">
      <c r="A48" s="303" t="s">
        <v>864</v>
      </c>
      <c r="B48" s="303" t="s">
        <v>866</v>
      </c>
      <c r="C48" s="303" t="s">
        <v>312</v>
      </c>
      <c r="D48" s="303" t="s">
        <v>313</v>
      </c>
      <c r="E48" s="303" t="s">
        <v>865</v>
      </c>
      <c r="F48" s="303">
        <v>3</v>
      </c>
      <c r="G48" s="303">
        <v>3</v>
      </c>
      <c r="H48" s="303" t="s">
        <v>946</v>
      </c>
      <c r="I48" s="303" t="s">
        <v>945</v>
      </c>
      <c r="J48" s="303" t="s">
        <v>944</v>
      </c>
      <c r="K48" s="303">
        <v>4.2</v>
      </c>
      <c r="L48" s="303">
        <v>4.9000000000000004</v>
      </c>
      <c r="M48" s="303">
        <v>3.7</v>
      </c>
      <c r="N48" s="303">
        <v>2.4500000000000002</v>
      </c>
      <c r="O48" s="303">
        <v>2.9</v>
      </c>
      <c r="P48" s="303">
        <v>2</v>
      </c>
      <c r="Q48" s="303">
        <v>2.8</v>
      </c>
      <c r="R48" s="303">
        <v>3.4</v>
      </c>
      <c r="S48" s="303">
        <v>2</v>
      </c>
      <c r="T48" s="303" t="s">
        <v>947</v>
      </c>
      <c r="U48" s="304">
        <v>45364</v>
      </c>
    </row>
    <row r="49" spans="1:21" s="305" customFormat="1" ht="11" x14ac:dyDescent="0.15">
      <c r="A49" s="303" t="s">
        <v>869</v>
      </c>
      <c r="B49" s="303" t="s">
        <v>314</v>
      </c>
      <c r="C49" s="303" t="s">
        <v>315</v>
      </c>
      <c r="D49" s="303" t="s">
        <v>316</v>
      </c>
      <c r="E49" s="303" t="s">
        <v>821</v>
      </c>
      <c r="F49" s="303">
        <v>1.6</v>
      </c>
      <c r="G49" s="303">
        <v>2</v>
      </c>
      <c r="H49" s="303" t="s">
        <v>951</v>
      </c>
      <c r="I49" s="303" t="s">
        <v>949</v>
      </c>
      <c r="J49" s="303" t="s">
        <v>941</v>
      </c>
      <c r="K49" s="303">
        <v>2.2999999999999998</v>
      </c>
      <c r="L49" s="303">
        <v>3.5</v>
      </c>
      <c r="M49" s="303">
        <v>1.6</v>
      </c>
      <c r="N49" s="303">
        <v>1.4</v>
      </c>
      <c r="O49" s="303">
        <v>1.8</v>
      </c>
      <c r="P49" s="303">
        <v>1</v>
      </c>
      <c r="Q49" s="303">
        <v>1.4</v>
      </c>
      <c r="R49" s="303">
        <v>1.8</v>
      </c>
      <c r="S49" s="303">
        <v>1</v>
      </c>
      <c r="T49" s="303" t="s">
        <v>952</v>
      </c>
      <c r="U49" s="304">
        <v>45379</v>
      </c>
    </row>
    <row r="50" spans="1:21" s="305" customFormat="1" ht="11" x14ac:dyDescent="0.15">
      <c r="A50" s="303" t="s">
        <v>317</v>
      </c>
      <c r="B50" s="303" t="s">
        <v>318</v>
      </c>
      <c r="C50" s="303" t="s">
        <v>81</v>
      </c>
      <c r="D50" s="303" t="s">
        <v>83</v>
      </c>
      <c r="E50" s="303" t="s">
        <v>870</v>
      </c>
      <c r="F50" s="303">
        <v>2.9</v>
      </c>
      <c r="G50" s="303">
        <v>3</v>
      </c>
      <c r="H50" s="303" t="s">
        <v>946</v>
      </c>
      <c r="I50" s="303" t="s">
        <v>949</v>
      </c>
      <c r="J50" s="303" t="s">
        <v>941</v>
      </c>
      <c r="K50" s="303">
        <v>3.1</v>
      </c>
      <c r="L50" s="303">
        <v>2.6</v>
      </c>
      <c r="M50" s="303">
        <v>3.3</v>
      </c>
      <c r="N50" s="303">
        <v>3.45</v>
      </c>
      <c r="O50" s="303">
        <v>3.9</v>
      </c>
      <c r="P50" s="303">
        <v>3</v>
      </c>
      <c r="Q50" s="303">
        <v>1.8</v>
      </c>
      <c r="R50" s="303">
        <v>2</v>
      </c>
      <c r="S50" s="303">
        <v>1.5</v>
      </c>
      <c r="T50" s="303" t="s">
        <v>947</v>
      </c>
      <c r="U50" s="304">
        <v>45381</v>
      </c>
    </row>
    <row r="51" spans="1:21" s="305" customFormat="1" ht="11" x14ac:dyDescent="0.15">
      <c r="A51" s="303" t="s">
        <v>321</v>
      </c>
      <c r="B51" s="303" t="s">
        <v>322</v>
      </c>
      <c r="C51" s="303" t="s">
        <v>323</v>
      </c>
      <c r="D51" s="303" t="s">
        <v>324</v>
      </c>
      <c r="E51" s="303" t="s">
        <v>873</v>
      </c>
      <c r="F51" s="303">
        <v>3</v>
      </c>
      <c r="G51" s="303">
        <v>3</v>
      </c>
      <c r="H51" s="303" t="s">
        <v>946</v>
      </c>
      <c r="I51" s="303" t="s">
        <v>945</v>
      </c>
      <c r="J51" s="303" t="s">
        <v>944</v>
      </c>
      <c r="K51" s="303">
        <v>4.0999999999999996</v>
      </c>
      <c r="L51" s="303">
        <v>5</v>
      </c>
      <c r="M51" s="303">
        <v>3.5</v>
      </c>
      <c r="N51" s="303">
        <v>1.4</v>
      </c>
      <c r="O51" s="303">
        <v>1.8</v>
      </c>
      <c r="P51" s="303">
        <v>1</v>
      </c>
      <c r="Q51" s="303">
        <v>3.9</v>
      </c>
      <c r="R51" s="303">
        <v>3</v>
      </c>
      <c r="S51" s="303">
        <v>4.5</v>
      </c>
      <c r="T51" s="303" t="s">
        <v>953</v>
      </c>
      <c r="U51" s="304">
        <v>45381</v>
      </c>
    </row>
    <row r="52" spans="1:21" s="305" customFormat="1" ht="11" x14ac:dyDescent="0.15">
      <c r="A52" s="303" t="s">
        <v>329</v>
      </c>
      <c r="B52" s="303" t="s">
        <v>330</v>
      </c>
      <c r="C52" s="303" t="s">
        <v>65</v>
      </c>
      <c r="D52" s="303" t="s">
        <v>66</v>
      </c>
      <c r="E52" s="303" t="s">
        <v>165</v>
      </c>
      <c r="F52" s="303">
        <v>4.3</v>
      </c>
      <c r="G52" s="303">
        <v>5</v>
      </c>
      <c r="H52" s="303" t="s">
        <v>941</v>
      </c>
      <c r="I52" s="303" t="s">
        <v>949</v>
      </c>
      <c r="J52" s="303" t="s">
        <v>944</v>
      </c>
      <c r="K52" s="303">
        <v>4.5</v>
      </c>
      <c r="L52" s="303">
        <v>4.9000000000000004</v>
      </c>
      <c r="M52" s="303">
        <v>4.2</v>
      </c>
      <c r="N52" s="303">
        <v>4.45</v>
      </c>
      <c r="O52" s="303">
        <v>4.9000000000000004</v>
      </c>
      <c r="P52" s="303">
        <v>4</v>
      </c>
      <c r="Q52" s="303">
        <v>3.9</v>
      </c>
      <c r="R52" s="303">
        <v>3.2</v>
      </c>
      <c r="S52" s="303">
        <v>4.5</v>
      </c>
      <c r="T52" s="303" t="s">
        <v>947</v>
      </c>
      <c r="U52" s="304">
        <v>45379</v>
      </c>
    </row>
    <row r="53" spans="1:21" s="305" customFormat="1" ht="11" x14ac:dyDescent="0.15">
      <c r="A53" s="303" t="s">
        <v>331</v>
      </c>
      <c r="B53" s="303" t="s">
        <v>332</v>
      </c>
      <c r="C53" s="303" t="s">
        <v>69</v>
      </c>
      <c r="D53" s="303" t="s">
        <v>70</v>
      </c>
      <c r="E53" s="303" t="s">
        <v>874</v>
      </c>
      <c r="F53" s="303">
        <v>4.5999999999999996</v>
      </c>
      <c r="G53" s="303">
        <v>5</v>
      </c>
      <c r="H53" s="303" t="s">
        <v>941</v>
      </c>
      <c r="I53" s="303" t="s">
        <v>949</v>
      </c>
      <c r="J53" s="303" t="s">
        <v>941</v>
      </c>
      <c r="K53" s="303">
        <v>4.8</v>
      </c>
      <c r="L53" s="303">
        <v>4.9000000000000004</v>
      </c>
      <c r="M53" s="303">
        <v>4.7</v>
      </c>
      <c r="N53" s="303">
        <v>4.5</v>
      </c>
      <c r="O53" s="303">
        <v>5</v>
      </c>
      <c r="P53" s="303">
        <v>4</v>
      </c>
      <c r="Q53" s="303">
        <v>4.5</v>
      </c>
      <c r="R53" s="303">
        <v>3.9</v>
      </c>
      <c r="S53" s="303">
        <v>5</v>
      </c>
      <c r="T53" s="303" t="s">
        <v>943</v>
      </c>
      <c r="U53" s="304">
        <v>45378</v>
      </c>
    </row>
    <row r="54" spans="1:21" s="305" customFormat="1" ht="11" x14ac:dyDescent="0.15">
      <c r="A54" s="303" t="s">
        <v>985</v>
      </c>
      <c r="B54" s="303" t="s">
        <v>986</v>
      </c>
      <c r="C54" s="303" t="s">
        <v>667</v>
      </c>
      <c r="D54" s="303" t="s">
        <v>668</v>
      </c>
      <c r="E54" s="303" t="s">
        <v>887</v>
      </c>
      <c r="F54" s="303">
        <v>2.2999999999999998</v>
      </c>
      <c r="G54" s="303">
        <v>3</v>
      </c>
      <c r="H54" s="303" t="s">
        <v>946</v>
      </c>
      <c r="I54" s="303" t="s">
        <v>950</v>
      </c>
      <c r="J54" s="303" t="s">
        <v>941</v>
      </c>
      <c r="K54" s="303">
        <v>2</v>
      </c>
      <c r="L54" s="303">
        <v>3.1</v>
      </c>
      <c r="M54" s="303">
        <v>1.4</v>
      </c>
      <c r="N54" s="303">
        <v>3.1</v>
      </c>
      <c r="O54" s="303">
        <v>2.2000000000000002</v>
      </c>
      <c r="P54" s="303">
        <v>4</v>
      </c>
      <c r="Q54" s="303">
        <v>1.1000000000000001</v>
      </c>
      <c r="R54" s="303">
        <v>1.1000000000000001</v>
      </c>
      <c r="S54" s="303">
        <v>1</v>
      </c>
      <c r="T54" s="303" t="s">
        <v>943</v>
      </c>
      <c r="U54" s="304">
        <v>45378</v>
      </c>
    </row>
    <row r="55" spans="1:21" s="305" customFormat="1" ht="11" x14ac:dyDescent="0.15">
      <c r="A55" s="303" t="s">
        <v>339</v>
      </c>
      <c r="B55" s="303" t="s">
        <v>340</v>
      </c>
      <c r="C55" s="303" t="s">
        <v>100</v>
      </c>
      <c r="D55" s="303" t="s">
        <v>101</v>
      </c>
      <c r="E55" s="303" t="s">
        <v>876</v>
      </c>
      <c r="F55" s="303">
        <v>3.6</v>
      </c>
      <c r="G55" s="303">
        <v>4</v>
      </c>
      <c r="H55" s="303" t="s">
        <v>944</v>
      </c>
      <c r="I55" s="303" t="s">
        <v>949</v>
      </c>
      <c r="J55" s="303" t="s">
        <v>944</v>
      </c>
      <c r="K55" s="303">
        <v>3.8</v>
      </c>
      <c r="L55" s="303">
        <v>5</v>
      </c>
      <c r="M55" s="303">
        <v>2.9</v>
      </c>
      <c r="N55" s="303">
        <v>3.45</v>
      </c>
      <c r="O55" s="303">
        <v>3.9</v>
      </c>
      <c r="P55" s="303">
        <v>3</v>
      </c>
      <c r="Q55" s="303">
        <v>3.5</v>
      </c>
      <c r="R55" s="303">
        <v>3.5</v>
      </c>
      <c r="S55" s="303">
        <v>3.5</v>
      </c>
      <c r="T55" s="303" t="s">
        <v>947</v>
      </c>
      <c r="U55" s="304">
        <v>45381</v>
      </c>
    </row>
    <row r="56" spans="1:21" s="305" customFormat="1" ht="11" x14ac:dyDescent="0.15">
      <c r="A56" s="303" t="s">
        <v>347</v>
      </c>
      <c r="B56" s="303" t="s">
        <v>348</v>
      </c>
      <c r="C56" s="303" t="s">
        <v>345</v>
      </c>
      <c r="D56" s="303" t="s">
        <v>346</v>
      </c>
      <c r="E56" s="303" t="s">
        <v>879</v>
      </c>
      <c r="F56" s="303">
        <v>2.6</v>
      </c>
      <c r="G56" s="303">
        <v>3</v>
      </c>
      <c r="H56" s="303" t="s">
        <v>946</v>
      </c>
      <c r="I56" s="303" t="s">
        <v>949</v>
      </c>
      <c r="J56" s="303" t="s">
        <v>941</v>
      </c>
      <c r="K56" s="303">
        <v>2.5</v>
      </c>
      <c r="L56" s="303">
        <v>4.0999999999999996</v>
      </c>
      <c r="M56" s="303">
        <v>1.3</v>
      </c>
      <c r="N56" s="303">
        <v>2.9</v>
      </c>
      <c r="O56" s="303">
        <v>2.8</v>
      </c>
      <c r="P56" s="303">
        <v>3</v>
      </c>
      <c r="Q56" s="303">
        <v>2.1</v>
      </c>
      <c r="R56" s="303">
        <v>2.2000000000000002</v>
      </c>
      <c r="S56" s="303">
        <v>2</v>
      </c>
      <c r="T56" s="303" t="s">
        <v>947</v>
      </c>
      <c r="U56" s="304">
        <v>45364</v>
      </c>
    </row>
    <row r="57" spans="1:21" s="305" customFormat="1" ht="11" x14ac:dyDescent="0.15">
      <c r="A57" s="303" t="s">
        <v>349</v>
      </c>
      <c r="B57" s="303" t="s">
        <v>350</v>
      </c>
      <c r="C57" s="303" t="s">
        <v>106</v>
      </c>
      <c r="D57" s="303" t="s">
        <v>107</v>
      </c>
      <c r="E57" s="303" t="s">
        <v>880</v>
      </c>
      <c r="F57" s="303">
        <v>3.4</v>
      </c>
      <c r="G57" s="303">
        <v>4</v>
      </c>
      <c r="H57" s="303" t="s">
        <v>944</v>
      </c>
      <c r="I57" s="303" t="s">
        <v>949</v>
      </c>
      <c r="J57" s="303" t="s">
        <v>941</v>
      </c>
      <c r="K57" s="303">
        <v>3.9</v>
      </c>
      <c r="L57" s="303">
        <v>4.3</v>
      </c>
      <c r="M57" s="303">
        <v>3.6</v>
      </c>
      <c r="N57" s="303">
        <v>3.7</v>
      </c>
      <c r="O57" s="303">
        <v>4.4000000000000004</v>
      </c>
      <c r="P57" s="303">
        <v>3</v>
      </c>
      <c r="Q57" s="303">
        <v>2.5</v>
      </c>
      <c r="R57" s="303">
        <v>2.4</v>
      </c>
      <c r="S57" s="303">
        <v>2.5</v>
      </c>
      <c r="T57" s="303" t="s">
        <v>947</v>
      </c>
      <c r="U57" s="304">
        <v>45381</v>
      </c>
    </row>
    <row r="58" spans="1:21" s="305" customFormat="1" ht="11" x14ac:dyDescent="0.15">
      <c r="A58" s="303" t="s">
        <v>351</v>
      </c>
      <c r="B58" s="303" t="s">
        <v>352</v>
      </c>
      <c r="C58" s="303" t="s">
        <v>353</v>
      </c>
      <c r="D58" s="303" t="s">
        <v>354</v>
      </c>
      <c r="E58" s="303" t="s">
        <v>824</v>
      </c>
      <c r="F58" s="303">
        <v>2.2999999999999998</v>
      </c>
      <c r="G58" s="303">
        <v>3</v>
      </c>
      <c r="H58" s="303" t="s">
        <v>946</v>
      </c>
      <c r="I58" s="303" t="s">
        <v>949</v>
      </c>
      <c r="J58" s="303" t="s">
        <v>944</v>
      </c>
      <c r="K58" s="303">
        <v>2.8</v>
      </c>
      <c r="L58" s="303">
        <v>1.7</v>
      </c>
      <c r="M58" s="303">
        <v>3.3</v>
      </c>
      <c r="N58" s="303">
        <v>2.0499999999999998</v>
      </c>
      <c r="O58" s="303">
        <v>2.1</v>
      </c>
      <c r="P58" s="303">
        <v>2</v>
      </c>
      <c r="Q58" s="303">
        <v>2.1</v>
      </c>
      <c r="R58" s="303">
        <v>1.7</v>
      </c>
      <c r="S58" s="303">
        <v>2.5</v>
      </c>
      <c r="T58" s="303" t="s">
        <v>943</v>
      </c>
      <c r="U58" s="304">
        <v>45378</v>
      </c>
    </row>
    <row r="59" spans="1:21" s="305" customFormat="1" ht="11" x14ac:dyDescent="0.15">
      <c r="A59" s="303" t="s">
        <v>355</v>
      </c>
      <c r="B59" s="303" t="s">
        <v>356</v>
      </c>
      <c r="C59" s="303" t="s">
        <v>357</v>
      </c>
      <c r="D59" s="303" t="s">
        <v>358</v>
      </c>
      <c r="E59" s="303" t="s">
        <v>219</v>
      </c>
      <c r="F59" s="303">
        <v>2.5</v>
      </c>
      <c r="G59" s="303">
        <v>3</v>
      </c>
      <c r="H59" s="303" t="s">
        <v>946</v>
      </c>
      <c r="I59" s="303" t="s">
        <v>945</v>
      </c>
      <c r="J59" s="303" t="s">
        <v>946</v>
      </c>
      <c r="K59" s="303">
        <v>2.8</v>
      </c>
      <c r="L59" s="303">
        <v>4.3</v>
      </c>
      <c r="M59" s="303">
        <v>1.7</v>
      </c>
      <c r="N59" s="303">
        <v>3.05</v>
      </c>
      <c r="O59" s="303">
        <v>3.1</v>
      </c>
      <c r="P59" s="303">
        <v>3</v>
      </c>
      <c r="Q59" s="303">
        <v>1.3</v>
      </c>
      <c r="R59" s="303">
        <v>1.5</v>
      </c>
      <c r="S59" s="303">
        <v>1</v>
      </c>
      <c r="T59" s="303" t="s">
        <v>947</v>
      </c>
      <c r="U59" s="304">
        <v>45381</v>
      </c>
    </row>
    <row r="60" spans="1:21" s="305" customFormat="1" ht="11" x14ac:dyDescent="0.15">
      <c r="A60" s="303" t="s">
        <v>359</v>
      </c>
      <c r="B60" s="303" t="s">
        <v>360</v>
      </c>
      <c r="C60" s="303" t="s">
        <v>90</v>
      </c>
      <c r="D60" s="303" t="s">
        <v>91</v>
      </c>
      <c r="E60" s="303" t="s">
        <v>809</v>
      </c>
      <c r="F60" s="303">
        <v>3.7</v>
      </c>
      <c r="G60" s="303">
        <v>4</v>
      </c>
      <c r="H60" s="303" t="s">
        <v>944</v>
      </c>
      <c r="I60" s="303" t="s">
        <v>949</v>
      </c>
      <c r="J60" s="303" t="s">
        <v>941</v>
      </c>
      <c r="K60" s="303">
        <v>3.7</v>
      </c>
      <c r="L60" s="303">
        <v>3.7</v>
      </c>
      <c r="M60" s="303">
        <v>3.7</v>
      </c>
      <c r="N60" s="303">
        <v>4.0999999999999996</v>
      </c>
      <c r="O60" s="303">
        <v>4.2</v>
      </c>
      <c r="P60" s="303">
        <v>4</v>
      </c>
      <c r="Q60" s="303">
        <v>3.1</v>
      </c>
      <c r="R60" s="303">
        <v>2.7</v>
      </c>
      <c r="S60" s="303">
        <v>3.5</v>
      </c>
      <c r="T60" s="303" t="s">
        <v>947</v>
      </c>
      <c r="U60" s="304">
        <v>45379</v>
      </c>
    </row>
    <row r="61" spans="1:21" s="305" customFormat="1" ht="11" x14ac:dyDescent="0.15">
      <c r="A61" s="303" t="s">
        <v>366</v>
      </c>
      <c r="B61" s="303" t="s">
        <v>367</v>
      </c>
      <c r="C61" s="303" t="s">
        <v>79</v>
      </c>
      <c r="D61" s="303" t="s">
        <v>80</v>
      </c>
      <c r="E61" s="303" t="s">
        <v>811</v>
      </c>
      <c r="F61" s="303">
        <v>3.9</v>
      </c>
      <c r="G61" s="303">
        <v>4</v>
      </c>
      <c r="H61" s="303" t="s">
        <v>944</v>
      </c>
      <c r="I61" s="303" t="s">
        <v>942</v>
      </c>
      <c r="J61" s="303" t="s">
        <v>944</v>
      </c>
      <c r="K61" s="303">
        <v>4.0999999999999996</v>
      </c>
      <c r="L61" s="303">
        <v>4.8</v>
      </c>
      <c r="M61" s="303">
        <v>3.6</v>
      </c>
      <c r="N61" s="303">
        <v>4</v>
      </c>
      <c r="O61" s="303">
        <v>5</v>
      </c>
      <c r="P61" s="303">
        <v>3</v>
      </c>
      <c r="Q61" s="303">
        <v>3.7</v>
      </c>
      <c r="R61" s="303">
        <v>3.4</v>
      </c>
      <c r="S61" s="303">
        <v>4</v>
      </c>
      <c r="T61" s="303" t="s">
        <v>947</v>
      </c>
      <c r="U61" s="304">
        <v>45379</v>
      </c>
    </row>
    <row r="62" spans="1:21" s="305" customFormat="1" ht="11" x14ac:dyDescent="0.15">
      <c r="A62" s="303" t="s">
        <v>375</v>
      </c>
      <c r="B62" s="303" t="s">
        <v>376</v>
      </c>
      <c r="C62" s="303" t="s">
        <v>377</v>
      </c>
      <c r="D62" s="303" t="s">
        <v>378</v>
      </c>
      <c r="E62" s="303" t="s">
        <v>844</v>
      </c>
      <c r="F62" s="303" t="s">
        <v>246</v>
      </c>
      <c r="G62" s="303" t="s">
        <v>246</v>
      </c>
      <c r="H62" s="303" t="s">
        <v>246</v>
      </c>
      <c r="I62" s="303" t="s">
        <v>942</v>
      </c>
      <c r="J62" s="303" t="s">
        <v>944</v>
      </c>
      <c r="K62" s="303">
        <v>2.9</v>
      </c>
      <c r="L62" s="303">
        <v>4.0999999999999996</v>
      </c>
      <c r="M62" s="303">
        <v>2</v>
      </c>
      <c r="N62" s="303" t="s">
        <v>246</v>
      </c>
      <c r="O62" s="303" t="s">
        <v>246</v>
      </c>
      <c r="P62" s="303" t="s">
        <v>246</v>
      </c>
      <c r="Q62" s="303">
        <v>2.2999999999999998</v>
      </c>
      <c r="R62" s="303">
        <v>2.6</v>
      </c>
      <c r="S62" s="303">
        <v>2</v>
      </c>
      <c r="T62" s="303" t="s">
        <v>953</v>
      </c>
      <c r="U62" s="304">
        <v>45351</v>
      </c>
    </row>
    <row r="63" spans="1:21" s="305" customFormat="1" ht="11" x14ac:dyDescent="0.15">
      <c r="A63" s="303" t="s">
        <v>987</v>
      </c>
      <c r="B63" s="303" t="s">
        <v>988</v>
      </c>
      <c r="C63" s="303" t="s">
        <v>671</v>
      </c>
      <c r="D63" s="303" t="s">
        <v>672</v>
      </c>
      <c r="E63" s="303" t="s">
        <v>158</v>
      </c>
      <c r="F63" s="303">
        <v>2.4</v>
      </c>
      <c r="G63" s="303">
        <v>3</v>
      </c>
      <c r="H63" s="303" t="s">
        <v>946</v>
      </c>
      <c r="I63" s="303" t="s">
        <v>949</v>
      </c>
      <c r="J63" s="303" t="s">
        <v>944</v>
      </c>
      <c r="K63" s="303">
        <v>2.7</v>
      </c>
      <c r="L63" s="303">
        <v>3</v>
      </c>
      <c r="M63" s="303">
        <v>2.5</v>
      </c>
      <c r="N63" s="303">
        <v>2.15</v>
      </c>
      <c r="O63" s="303">
        <v>2.2999999999999998</v>
      </c>
      <c r="P63" s="303">
        <v>2</v>
      </c>
      <c r="Q63" s="303">
        <v>2.6</v>
      </c>
      <c r="R63" s="303">
        <v>2.7</v>
      </c>
      <c r="S63" s="303">
        <v>2.5</v>
      </c>
      <c r="T63" s="303" t="s">
        <v>943</v>
      </c>
      <c r="U63" s="304">
        <v>45260</v>
      </c>
    </row>
    <row r="64" spans="1:21" s="305" customFormat="1" ht="11" x14ac:dyDescent="0.15">
      <c r="A64" s="303" t="s">
        <v>379</v>
      </c>
      <c r="B64" s="303" t="s">
        <v>380</v>
      </c>
      <c r="C64" s="303" t="s">
        <v>73</v>
      </c>
      <c r="D64" s="303" t="s">
        <v>74</v>
      </c>
      <c r="E64" s="303" t="s">
        <v>821</v>
      </c>
      <c r="F64" s="303">
        <v>4</v>
      </c>
      <c r="G64" s="303">
        <v>4</v>
      </c>
      <c r="H64" s="303" t="s">
        <v>944</v>
      </c>
      <c r="I64" s="303" t="s">
        <v>945</v>
      </c>
      <c r="J64" s="303" t="s">
        <v>944</v>
      </c>
      <c r="K64" s="303">
        <v>3.9</v>
      </c>
      <c r="L64" s="303">
        <v>4.9000000000000004</v>
      </c>
      <c r="M64" s="303">
        <v>3.2</v>
      </c>
      <c r="N64" s="303">
        <v>4</v>
      </c>
      <c r="O64" s="303">
        <v>5</v>
      </c>
      <c r="P64" s="303">
        <v>3</v>
      </c>
      <c r="Q64" s="303">
        <v>4</v>
      </c>
      <c r="R64" s="303">
        <v>3.3</v>
      </c>
      <c r="S64" s="303">
        <v>4.5</v>
      </c>
      <c r="T64" s="303" t="s">
        <v>943</v>
      </c>
      <c r="U64" s="304">
        <v>45375</v>
      </c>
    </row>
    <row r="65" spans="1:21" s="305" customFormat="1" ht="11" x14ac:dyDescent="0.15">
      <c r="A65" s="303" t="s">
        <v>384</v>
      </c>
      <c r="B65" s="303" t="s">
        <v>385</v>
      </c>
      <c r="C65" s="303" t="s">
        <v>386</v>
      </c>
      <c r="D65" s="303" t="s">
        <v>387</v>
      </c>
      <c r="E65" s="303" t="s">
        <v>824</v>
      </c>
      <c r="F65" s="303">
        <v>2.1</v>
      </c>
      <c r="G65" s="303">
        <v>3</v>
      </c>
      <c r="H65" s="303" t="s">
        <v>946</v>
      </c>
      <c r="I65" s="303" t="s">
        <v>945</v>
      </c>
      <c r="J65" s="303" t="s">
        <v>941</v>
      </c>
      <c r="K65" s="303">
        <v>2.9</v>
      </c>
      <c r="L65" s="303">
        <v>2.5</v>
      </c>
      <c r="M65" s="303">
        <v>3.1</v>
      </c>
      <c r="N65" s="303">
        <v>1.95</v>
      </c>
      <c r="O65" s="303">
        <v>0.9</v>
      </c>
      <c r="P65" s="303">
        <v>3</v>
      </c>
      <c r="Q65" s="303">
        <v>1.8</v>
      </c>
      <c r="R65" s="303">
        <v>1.6</v>
      </c>
      <c r="S65" s="303">
        <v>2</v>
      </c>
      <c r="T65" s="303" t="s">
        <v>953</v>
      </c>
      <c r="U65" s="304">
        <v>45351</v>
      </c>
    </row>
    <row r="66" spans="1:21" s="305" customFormat="1" ht="11" x14ac:dyDescent="0.15">
      <c r="A66" s="303" t="s">
        <v>388</v>
      </c>
      <c r="B66" s="303" t="s">
        <v>389</v>
      </c>
      <c r="C66" s="303" t="s">
        <v>390</v>
      </c>
      <c r="D66" s="303" t="s">
        <v>391</v>
      </c>
      <c r="E66" s="303" t="s">
        <v>824</v>
      </c>
      <c r="F66" s="303">
        <v>2.9</v>
      </c>
      <c r="G66" s="303">
        <v>3</v>
      </c>
      <c r="H66" s="303" t="s">
        <v>946</v>
      </c>
      <c r="I66" s="303" t="s">
        <v>949</v>
      </c>
      <c r="J66" s="303" t="s">
        <v>941</v>
      </c>
      <c r="K66" s="303">
        <v>3.4</v>
      </c>
      <c r="L66" s="303">
        <v>4</v>
      </c>
      <c r="M66" s="303">
        <v>3</v>
      </c>
      <c r="N66" s="303">
        <v>2.65</v>
      </c>
      <c r="O66" s="303">
        <v>3.3</v>
      </c>
      <c r="P66" s="303">
        <v>2</v>
      </c>
      <c r="Q66" s="303">
        <v>2.7</v>
      </c>
      <c r="R66" s="303">
        <v>2.2999999999999998</v>
      </c>
      <c r="S66" s="303">
        <v>3</v>
      </c>
      <c r="T66" s="303" t="s">
        <v>953</v>
      </c>
      <c r="U66" s="304">
        <v>45351</v>
      </c>
    </row>
    <row r="67" spans="1:21" s="305" customFormat="1" ht="11" x14ac:dyDescent="0.15">
      <c r="A67" s="303" t="s">
        <v>394</v>
      </c>
      <c r="B67" s="303" t="s">
        <v>395</v>
      </c>
      <c r="C67" s="303" t="s">
        <v>392</v>
      </c>
      <c r="D67" s="303" t="s">
        <v>393</v>
      </c>
      <c r="E67" s="303" t="s">
        <v>888</v>
      </c>
      <c r="F67" s="303">
        <v>2.2000000000000002</v>
      </c>
      <c r="G67" s="303">
        <v>3</v>
      </c>
      <c r="H67" s="303" t="s">
        <v>946</v>
      </c>
      <c r="I67" s="303" t="s">
        <v>949</v>
      </c>
      <c r="J67" s="303" t="s">
        <v>944</v>
      </c>
      <c r="K67" s="303">
        <v>2.8</v>
      </c>
      <c r="L67" s="303">
        <v>2.7</v>
      </c>
      <c r="M67" s="303">
        <v>2.8</v>
      </c>
      <c r="N67" s="303">
        <v>1.45</v>
      </c>
      <c r="O67" s="303">
        <v>1.9</v>
      </c>
      <c r="P67" s="303">
        <v>1</v>
      </c>
      <c r="Q67" s="303">
        <v>2.7</v>
      </c>
      <c r="R67" s="303">
        <v>2.8</v>
      </c>
      <c r="S67" s="303">
        <v>2.5</v>
      </c>
      <c r="T67" s="303" t="s">
        <v>943</v>
      </c>
      <c r="U67" s="304">
        <v>45378</v>
      </c>
    </row>
    <row r="68" spans="1:21" s="305" customFormat="1" ht="11" x14ac:dyDescent="0.15">
      <c r="A68" s="303" t="s">
        <v>889</v>
      </c>
      <c r="B68" s="303" t="s">
        <v>890</v>
      </c>
      <c r="C68" s="303" t="s">
        <v>578</v>
      </c>
      <c r="D68" s="303" t="s">
        <v>579</v>
      </c>
      <c r="E68" s="303" t="s">
        <v>158</v>
      </c>
      <c r="F68" s="303">
        <v>2</v>
      </c>
      <c r="G68" s="303">
        <v>2</v>
      </c>
      <c r="H68" s="303" t="s">
        <v>951</v>
      </c>
      <c r="I68" s="303" t="s">
        <v>942</v>
      </c>
      <c r="J68" s="303" t="s">
        <v>941</v>
      </c>
      <c r="K68" s="303">
        <v>2.2999999999999998</v>
      </c>
      <c r="L68" s="303">
        <v>1.9</v>
      </c>
      <c r="M68" s="303">
        <v>2.5</v>
      </c>
      <c r="N68" s="303">
        <v>1.4</v>
      </c>
      <c r="O68" s="303">
        <v>0.8</v>
      </c>
      <c r="P68" s="303">
        <v>2</v>
      </c>
      <c r="Q68" s="303">
        <v>2.6</v>
      </c>
      <c r="R68" s="303">
        <v>2.7</v>
      </c>
      <c r="S68" s="303">
        <v>2.5</v>
      </c>
      <c r="T68" s="303" t="s">
        <v>954</v>
      </c>
      <c r="U68" s="304">
        <v>45351</v>
      </c>
    </row>
    <row r="69" spans="1:21" s="305" customFormat="1" ht="11" x14ac:dyDescent="0.15">
      <c r="A69" s="303" t="s">
        <v>891</v>
      </c>
      <c r="B69" s="303" t="s">
        <v>396</v>
      </c>
      <c r="C69" s="303" t="s">
        <v>397</v>
      </c>
      <c r="D69" s="303" t="s">
        <v>398</v>
      </c>
      <c r="E69" s="303" t="s">
        <v>821</v>
      </c>
      <c r="F69" s="303">
        <v>2.1</v>
      </c>
      <c r="G69" s="303">
        <v>3</v>
      </c>
      <c r="H69" s="303" t="s">
        <v>946</v>
      </c>
      <c r="I69" s="303" t="s">
        <v>949</v>
      </c>
      <c r="J69" s="303" t="s">
        <v>941</v>
      </c>
      <c r="K69" s="303">
        <v>3.4</v>
      </c>
      <c r="L69" s="303">
        <v>4.8</v>
      </c>
      <c r="M69" s="303">
        <v>2.2999999999999998</v>
      </c>
      <c r="N69" s="303">
        <v>2.15</v>
      </c>
      <c r="O69" s="303">
        <v>3.3</v>
      </c>
      <c r="P69" s="303">
        <v>1</v>
      </c>
      <c r="Q69" s="303">
        <v>1</v>
      </c>
      <c r="R69" s="303">
        <v>0.9</v>
      </c>
      <c r="S69" s="303">
        <v>1</v>
      </c>
      <c r="T69" s="303" t="s">
        <v>952</v>
      </c>
      <c r="U69" s="304">
        <v>45379</v>
      </c>
    </row>
    <row r="70" spans="1:21" s="305" customFormat="1" ht="11" x14ac:dyDescent="0.15">
      <c r="A70" s="303" t="s">
        <v>399</v>
      </c>
      <c r="B70" s="303" t="s">
        <v>400</v>
      </c>
      <c r="C70" s="303" t="s">
        <v>401</v>
      </c>
      <c r="D70" s="303" t="s">
        <v>402</v>
      </c>
      <c r="E70" s="303" t="s">
        <v>892</v>
      </c>
      <c r="F70" s="303">
        <v>3.7</v>
      </c>
      <c r="G70" s="303">
        <v>4</v>
      </c>
      <c r="H70" s="303" t="s">
        <v>944</v>
      </c>
      <c r="I70" s="303" t="s">
        <v>942</v>
      </c>
      <c r="J70" s="303" t="s">
        <v>946</v>
      </c>
      <c r="K70" s="303">
        <v>3.9</v>
      </c>
      <c r="L70" s="303">
        <v>4.5999999999999996</v>
      </c>
      <c r="M70" s="303">
        <v>3.5</v>
      </c>
      <c r="N70" s="303">
        <v>4.5</v>
      </c>
      <c r="O70" s="303">
        <v>5</v>
      </c>
      <c r="P70" s="303">
        <v>4</v>
      </c>
      <c r="Q70" s="303">
        <v>2.4</v>
      </c>
      <c r="R70" s="303">
        <v>2.7</v>
      </c>
      <c r="S70" s="303">
        <v>2</v>
      </c>
      <c r="T70" s="303" t="s">
        <v>943</v>
      </c>
      <c r="U70" s="304">
        <v>45375</v>
      </c>
    </row>
    <row r="71" spans="1:21" s="305" customFormat="1" ht="11" x14ac:dyDescent="0.15">
      <c r="A71" s="303" t="s">
        <v>403</v>
      </c>
      <c r="B71" s="303" t="s">
        <v>404</v>
      </c>
      <c r="C71" s="303" t="s">
        <v>77</v>
      </c>
      <c r="D71" s="303" t="s">
        <v>78</v>
      </c>
      <c r="E71" s="303" t="s">
        <v>847</v>
      </c>
      <c r="F71" s="303">
        <v>4.4000000000000004</v>
      </c>
      <c r="G71" s="303">
        <v>5</v>
      </c>
      <c r="H71" s="303" t="s">
        <v>941</v>
      </c>
      <c r="I71" s="303" t="s">
        <v>945</v>
      </c>
      <c r="J71" s="303" t="s">
        <v>941</v>
      </c>
      <c r="K71" s="303">
        <v>4.2</v>
      </c>
      <c r="L71" s="303">
        <v>3.4</v>
      </c>
      <c r="M71" s="303">
        <v>4.5</v>
      </c>
      <c r="N71" s="303">
        <v>4.5999999999999996</v>
      </c>
      <c r="O71" s="303">
        <v>4.2</v>
      </c>
      <c r="P71" s="303">
        <v>5</v>
      </c>
      <c r="Q71" s="303">
        <v>4.0999999999999996</v>
      </c>
      <c r="R71" s="303">
        <v>2.5</v>
      </c>
      <c r="S71" s="303">
        <v>5</v>
      </c>
      <c r="T71" s="303" t="s">
        <v>948</v>
      </c>
      <c r="U71" s="304">
        <v>45382</v>
      </c>
    </row>
    <row r="72" spans="1:21" s="305" customFormat="1" ht="11" x14ac:dyDescent="0.15">
      <c r="A72" s="303" t="s">
        <v>902</v>
      </c>
      <c r="B72" s="303" t="s">
        <v>441</v>
      </c>
      <c r="C72" s="303" t="s">
        <v>442</v>
      </c>
      <c r="D72" s="303" t="s">
        <v>443</v>
      </c>
      <c r="E72" s="303" t="s">
        <v>809</v>
      </c>
      <c r="F72" s="303">
        <v>1.7</v>
      </c>
      <c r="G72" s="303">
        <v>2</v>
      </c>
      <c r="H72" s="303" t="s">
        <v>951</v>
      </c>
      <c r="I72" s="303" t="s">
        <v>949</v>
      </c>
      <c r="J72" s="303" t="s">
        <v>941</v>
      </c>
      <c r="K72" s="303">
        <v>2.9</v>
      </c>
      <c r="L72" s="303">
        <v>4.5999999999999996</v>
      </c>
      <c r="M72" s="303">
        <v>1.5</v>
      </c>
      <c r="N72" s="303">
        <v>1.25</v>
      </c>
      <c r="O72" s="303">
        <v>1.5</v>
      </c>
      <c r="P72" s="303">
        <v>1</v>
      </c>
      <c r="Q72" s="303">
        <v>1.4</v>
      </c>
      <c r="R72" s="303">
        <v>1.3</v>
      </c>
      <c r="S72" s="303">
        <v>1.5</v>
      </c>
      <c r="T72" s="303" t="s">
        <v>952</v>
      </c>
      <c r="U72" s="304">
        <v>45379</v>
      </c>
    </row>
    <row r="73" spans="1:21" s="305" customFormat="1" ht="11" x14ac:dyDescent="0.15">
      <c r="A73" s="303" t="s">
        <v>903</v>
      </c>
      <c r="B73" s="303" t="s">
        <v>904</v>
      </c>
      <c r="C73" s="303" t="s">
        <v>584</v>
      </c>
      <c r="D73" s="303" t="s">
        <v>585</v>
      </c>
      <c r="E73" s="303" t="s">
        <v>809</v>
      </c>
      <c r="F73" s="303">
        <v>2.8</v>
      </c>
      <c r="G73" s="303">
        <v>3</v>
      </c>
      <c r="H73" s="303" t="s">
        <v>946</v>
      </c>
      <c r="I73" s="303" t="s">
        <v>949</v>
      </c>
      <c r="J73" s="303" t="s">
        <v>944</v>
      </c>
      <c r="K73" s="303">
        <v>3.6</v>
      </c>
      <c r="L73" s="303">
        <v>5</v>
      </c>
      <c r="M73" s="303">
        <v>2.2999999999999998</v>
      </c>
      <c r="N73" s="303">
        <v>2.25</v>
      </c>
      <c r="O73" s="303">
        <v>3.5</v>
      </c>
      <c r="P73" s="303">
        <v>1</v>
      </c>
      <c r="Q73" s="303">
        <v>2.8</v>
      </c>
      <c r="R73" s="303">
        <v>3</v>
      </c>
      <c r="S73" s="303">
        <v>2.5</v>
      </c>
      <c r="T73" s="303" t="s">
        <v>952</v>
      </c>
      <c r="U73" s="304">
        <v>45379</v>
      </c>
    </row>
    <row r="74" spans="1:21" s="305" customFormat="1" ht="11" x14ac:dyDescent="0.15">
      <c r="A74" s="303" t="s">
        <v>444</v>
      </c>
      <c r="B74" s="303" t="s">
        <v>445</v>
      </c>
      <c r="C74" s="303" t="s">
        <v>446</v>
      </c>
      <c r="D74" s="303" t="s">
        <v>447</v>
      </c>
      <c r="E74" s="303" t="s">
        <v>824</v>
      </c>
      <c r="F74" s="303">
        <v>2.4</v>
      </c>
      <c r="G74" s="303">
        <v>3</v>
      </c>
      <c r="H74" s="303" t="s">
        <v>946</v>
      </c>
      <c r="I74" s="303" t="s">
        <v>949</v>
      </c>
      <c r="J74" s="303" t="s">
        <v>946</v>
      </c>
      <c r="K74" s="303">
        <v>2.5</v>
      </c>
      <c r="L74" s="303">
        <v>2.2000000000000002</v>
      </c>
      <c r="M74" s="303">
        <v>2.7</v>
      </c>
      <c r="N74" s="303">
        <v>2.4500000000000002</v>
      </c>
      <c r="O74" s="303">
        <v>1.9</v>
      </c>
      <c r="P74" s="303">
        <v>3</v>
      </c>
      <c r="Q74" s="303">
        <v>2.2999999999999998</v>
      </c>
      <c r="R74" s="303">
        <v>3</v>
      </c>
      <c r="S74" s="303">
        <v>1.5</v>
      </c>
      <c r="T74" s="303" t="s">
        <v>947</v>
      </c>
      <c r="U74" s="304">
        <v>45379</v>
      </c>
    </row>
    <row r="75" spans="1:21" s="305" customFormat="1" ht="11" x14ac:dyDescent="0.15">
      <c r="A75" s="303" t="s">
        <v>448</v>
      </c>
      <c r="B75" s="303" t="s">
        <v>449</v>
      </c>
      <c r="C75" s="303" t="s">
        <v>53</v>
      </c>
      <c r="D75" s="303" t="s">
        <v>54</v>
      </c>
      <c r="E75" s="303" t="s">
        <v>905</v>
      </c>
      <c r="F75" s="303">
        <v>4.9000000000000004</v>
      </c>
      <c r="G75" s="303">
        <v>5</v>
      </c>
      <c r="H75" s="303" t="s">
        <v>941</v>
      </c>
      <c r="I75" s="303" t="s">
        <v>945</v>
      </c>
      <c r="J75" s="303" t="s">
        <v>941</v>
      </c>
      <c r="K75" s="303">
        <v>5</v>
      </c>
      <c r="L75" s="303">
        <v>5</v>
      </c>
      <c r="M75" s="303">
        <v>5</v>
      </c>
      <c r="N75" s="303">
        <v>5</v>
      </c>
      <c r="O75" s="303">
        <v>5</v>
      </c>
      <c r="P75" s="303">
        <v>5</v>
      </c>
      <c r="Q75" s="303">
        <v>4.7</v>
      </c>
      <c r="R75" s="303">
        <v>4.3</v>
      </c>
      <c r="S75" s="303">
        <v>5</v>
      </c>
      <c r="T75" s="303" t="s">
        <v>947</v>
      </c>
      <c r="U75" s="304">
        <v>45364</v>
      </c>
    </row>
    <row r="76" spans="1:21" s="305" customFormat="1" ht="11" x14ac:dyDescent="0.15">
      <c r="A76" s="303" t="s">
        <v>452</v>
      </c>
      <c r="B76" s="303" t="s">
        <v>453</v>
      </c>
      <c r="C76" s="303" t="s">
        <v>454</v>
      </c>
      <c r="D76" s="303" t="s">
        <v>455</v>
      </c>
      <c r="E76" s="303" t="s">
        <v>219</v>
      </c>
      <c r="F76" s="303">
        <v>2.1</v>
      </c>
      <c r="G76" s="303">
        <v>3</v>
      </c>
      <c r="H76" s="303" t="s">
        <v>946</v>
      </c>
      <c r="I76" s="303" t="s">
        <v>942</v>
      </c>
      <c r="J76" s="303" t="s">
        <v>941</v>
      </c>
      <c r="K76" s="303">
        <v>2.8</v>
      </c>
      <c r="L76" s="303">
        <v>4.5</v>
      </c>
      <c r="M76" s="303">
        <v>1.5</v>
      </c>
      <c r="N76" s="303">
        <v>2.25</v>
      </c>
      <c r="O76" s="303">
        <v>2.5</v>
      </c>
      <c r="P76" s="303">
        <v>2</v>
      </c>
      <c r="Q76" s="303">
        <v>1.4</v>
      </c>
      <c r="R76" s="303">
        <v>2.2000000000000002</v>
      </c>
      <c r="S76" s="303">
        <v>0.5</v>
      </c>
      <c r="T76" s="303" t="s">
        <v>947</v>
      </c>
      <c r="U76" s="304">
        <v>45379</v>
      </c>
    </row>
    <row r="77" spans="1:21" s="305" customFormat="1" ht="11" x14ac:dyDescent="0.15">
      <c r="A77" s="303" t="s">
        <v>456</v>
      </c>
      <c r="B77" s="303" t="s">
        <v>457</v>
      </c>
      <c r="C77" s="303" t="s">
        <v>114</v>
      </c>
      <c r="D77" s="303" t="s">
        <v>115</v>
      </c>
      <c r="E77" s="303" t="s">
        <v>906</v>
      </c>
      <c r="F77" s="303">
        <v>3.1</v>
      </c>
      <c r="G77" s="303">
        <v>4</v>
      </c>
      <c r="H77" s="303" t="s">
        <v>944</v>
      </c>
      <c r="I77" s="303" t="s">
        <v>949</v>
      </c>
      <c r="J77" s="303" t="s">
        <v>944</v>
      </c>
      <c r="K77" s="303">
        <v>2.6</v>
      </c>
      <c r="L77" s="303">
        <v>3.7</v>
      </c>
      <c r="M77" s="303">
        <v>1.9</v>
      </c>
      <c r="N77" s="303">
        <v>3.7</v>
      </c>
      <c r="O77" s="303">
        <v>3.4</v>
      </c>
      <c r="P77" s="303">
        <v>4</v>
      </c>
      <c r="Q77" s="303">
        <v>2.6</v>
      </c>
      <c r="R77" s="303">
        <v>2.1</v>
      </c>
      <c r="S77" s="303">
        <v>3</v>
      </c>
      <c r="T77" s="303" t="s">
        <v>953</v>
      </c>
      <c r="U77" s="304">
        <v>45322</v>
      </c>
    </row>
    <row r="78" spans="1:21" s="305" customFormat="1" ht="11" x14ac:dyDescent="0.15">
      <c r="A78" s="303" t="s">
        <v>458</v>
      </c>
      <c r="B78" s="303" t="s">
        <v>459</v>
      </c>
      <c r="C78" s="303" t="s">
        <v>57</v>
      </c>
      <c r="D78" s="303" t="s">
        <v>58</v>
      </c>
      <c r="E78" s="303" t="s">
        <v>907</v>
      </c>
      <c r="F78" s="303">
        <v>4.5999999999999996</v>
      </c>
      <c r="G78" s="303">
        <v>5</v>
      </c>
      <c r="H78" s="303" t="s">
        <v>941</v>
      </c>
      <c r="I78" s="303" t="s">
        <v>942</v>
      </c>
      <c r="J78" s="303" t="s">
        <v>944</v>
      </c>
      <c r="K78" s="303">
        <v>4.8</v>
      </c>
      <c r="L78" s="303">
        <v>4.7</v>
      </c>
      <c r="M78" s="303">
        <v>4.9000000000000004</v>
      </c>
      <c r="N78" s="303">
        <v>4.8499999999999996</v>
      </c>
      <c r="O78" s="303">
        <v>4.7</v>
      </c>
      <c r="P78" s="303">
        <v>5</v>
      </c>
      <c r="Q78" s="303">
        <v>4.2</v>
      </c>
      <c r="R78" s="303">
        <v>3.9</v>
      </c>
      <c r="S78" s="303">
        <v>4.5</v>
      </c>
      <c r="T78" s="303" t="s">
        <v>947</v>
      </c>
      <c r="U78" s="304">
        <v>45379</v>
      </c>
    </row>
    <row r="79" spans="1:21" s="305" customFormat="1" ht="11" x14ac:dyDescent="0.15">
      <c r="A79" s="303" t="s">
        <v>462</v>
      </c>
      <c r="B79" s="303" t="s">
        <v>463</v>
      </c>
      <c r="C79" s="303" t="s">
        <v>59</v>
      </c>
      <c r="D79" s="303" t="s">
        <v>60</v>
      </c>
      <c r="E79" s="303" t="s">
        <v>908</v>
      </c>
      <c r="F79" s="303">
        <v>4.0999999999999996</v>
      </c>
      <c r="G79" s="303">
        <v>5</v>
      </c>
      <c r="H79" s="303" t="s">
        <v>941</v>
      </c>
      <c r="I79" s="303" t="s">
        <v>942</v>
      </c>
      <c r="J79" s="303" t="s">
        <v>944</v>
      </c>
      <c r="K79" s="303">
        <v>4.5</v>
      </c>
      <c r="L79" s="303">
        <v>4.5999999999999996</v>
      </c>
      <c r="M79" s="303">
        <v>4.4000000000000004</v>
      </c>
      <c r="N79" s="303">
        <v>3.95</v>
      </c>
      <c r="O79" s="303">
        <v>4.9000000000000004</v>
      </c>
      <c r="P79" s="303">
        <v>3</v>
      </c>
      <c r="Q79" s="303">
        <v>4.0999999999999996</v>
      </c>
      <c r="R79" s="303">
        <v>3.7</v>
      </c>
      <c r="S79" s="303">
        <v>4.5</v>
      </c>
      <c r="T79" s="303" t="s">
        <v>947</v>
      </c>
      <c r="U79" s="304">
        <v>45379</v>
      </c>
    </row>
    <row r="80" spans="1:21" s="305" customFormat="1" ht="11" x14ac:dyDescent="0.15">
      <c r="A80" s="303" t="s">
        <v>909</v>
      </c>
      <c r="B80" s="303" t="s">
        <v>464</v>
      </c>
      <c r="C80" s="303" t="s">
        <v>465</v>
      </c>
      <c r="D80" s="303" t="s">
        <v>466</v>
      </c>
      <c r="E80" s="303" t="s">
        <v>821</v>
      </c>
      <c r="F80" s="303">
        <v>1.6</v>
      </c>
      <c r="G80" s="303">
        <v>2</v>
      </c>
      <c r="H80" s="303" t="s">
        <v>951</v>
      </c>
      <c r="I80" s="303" t="s">
        <v>949</v>
      </c>
      <c r="J80" s="303" t="s">
        <v>941</v>
      </c>
      <c r="K80" s="303">
        <v>2.5</v>
      </c>
      <c r="L80" s="303">
        <v>3.8</v>
      </c>
      <c r="M80" s="303">
        <v>1.6</v>
      </c>
      <c r="N80" s="303">
        <v>1.4</v>
      </c>
      <c r="O80" s="303">
        <v>1.8</v>
      </c>
      <c r="P80" s="303">
        <v>1</v>
      </c>
      <c r="Q80" s="303">
        <v>1.1000000000000001</v>
      </c>
      <c r="R80" s="303">
        <v>1.1000000000000001</v>
      </c>
      <c r="S80" s="303">
        <v>1</v>
      </c>
      <c r="T80" s="303" t="s">
        <v>952</v>
      </c>
      <c r="U80" s="304">
        <v>45379</v>
      </c>
    </row>
    <row r="81" spans="1:21" s="305" customFormat="1" ht="11" x14ac:dyDescent="0.15">
      <c r="A81" s="303" t="s">
        <v>467</v>
      </c>
      <c r="B81" s="303" t="s">
        <v>468</v>
      </c>
      <c r="C81" s="303" t="s">
        <v>469</v>
      </c>
      <c r="D81" s="303" t="s">
        <v>470</v>
      </c>
      <c r="E81" s="303" t="s">
        <v>219</v>
      </c>
      <c r="F81" s="303">
        <v>2.4</v>
      </c>
      <c r="G81" s="303">
        <v>3</v>
      </c>
      <c r="H81" s="303" t="s">
        <v>946</v>
      </c>
      <c r="I81" s="303" t="s">
        <v>949</v>
      </c>
      <c r="J81" s="303" t="s">
        <v>944</v>
      </c>
      <c r="K81" s="303">
        <v>2.1</v>
      </c>
      <c r="L81" s="303">
        <v>3.1</v>
      </c>
      <c r="M81" s="303">
        <v>1.5</v>
      </c>
      <c r="N81" s="303">
        <v>2.7</v>
      </c>
      <c r="O81" s="303">
        <v>2.4</v>
      </c>
      <c r="P81" s="303">
        <v>3</v>
      </c>
      <c r="Q81" s="303">
        <v>2</v>
      </c>
      <c r="R81" s="303">
        <v>2.5</v>
      </c>
      <c r="S81" s="303">
        <v>1.5</v>
      </c>
      <c r="T81" s="303" t="s">
        <v>947</v>
      </c>
      <c r="U81" s="304">
        <v>45381</v>
      </c>
    </row>
    <row r="82" spans="1:21" s="305" customFormat="1" ht="11" x14ac:dyDescent="0.15">
      <c r="A82" s="303" t="s">
        <v>471</v>
      </c>
      <c r="B82" s="303" t="s">
        <v>472</v>
      </c>
      <c r="C82" s="303" t="s">
        <v>55</v>
      </c>
      <c r="D82" s="303" t="s">
        <v>56</v>
      </c>
      <c r="E82" s="303" t="s">
        <v>811</v>
      </c>
      <c r="F82" s="303">
        <v>4.5</v>
      </c>
      <c r="G82" s="303">
        <v>5</v>
      </c>
      <c r="H82" s="303" t="s">
        <v>941</v>
      </c>
      <c r="I82" s="303" t="s">
        <v>949</v>
      </c>
      <c r="J82" s="303" t="s">
        <v>944</v>
      </c>
      <c r="K82" s="303">
        <v>4.7</v>
      </c>
      <c r="L82" s="303">
        <v>4.5999999999999996</v>
      </c>
      <c r="M82" s="303">
        <v>4.8</v>
      </c>
      <c r="N82" s="303">
        <v>4.5</v>
      </c>
      <c r="O82" s="303">
        <v>5</v>
      </c>
      <c r="P82" s="303">
        <v>4</v>
      </c>
      <c r="Q82" s="303">
        <v>4.5</v>
      </c>
      <c r="R82" s="303">
        <v>4.4000000000000004</v>
      </c>
      <c r="S82" s="303">
        <v>4.5</v>
      </c>
      <c r="T82" s="303" t="s">
        <v>948</v>
      </c>
      <c r="U82" s="304">
        <v>45375</v>
      </c>
    </row>
    <row r="83" spans="1:21" s="305" customFormat="1" ht="11" x14ac:dyDescent="0.15">
      <c r="A83" s="303" t="s">
        <v>473</v>
      </c>
      <c r="B83" s="303" t="s">
        <v>474</v>
      </c>
      <c r="C83" s="303" t="s">
        <v>67</v>
      </c>
      <c r="D83" s="303" t="s">
        <v>68</v>
      </c>
      <c r="E83" s="303" t="s">
        <v>809</v>
      </c>
      <c r="F83" s="303">
        <v>4.2</v>
      </c>
      <c r="G83" s="303">
        <v>5</v>
      </c>
      <c r="H83" s="303" t="s">
        <v>941</v>
      </c>
      <c r="I83" s="303" t="s">
        <v>949</v>
      </c>
      <c r="J83" s="303" t="s">
        <v>941</v>
      </c>
      <c r="K83" s="303">
        <v>3.8</v>
      </c>
      <c r="L83" s="303">
        <v>4.8</v>
      </c>
      <c r="M83" s="303">
        <v>3.1</v>
      </c>
      <c r="N83" s="303">
        <v>4.8</v>
      </c>
      <c r="O83" s="303">
        <v>4.5999999999999996</v>
      </c>
      <c r="P83" s="303">
        <v>5</v>
      </c>
      <c r="Q83" s="303">
        <v>3.6</v>
      </c>
      <c r="R83" s="303">
        <v>3.6</v>
      </c>
      <c r="S83" s="303">
        <v>3.5</v>
      </c>
      <c r="T83" s="303" t="s">
        <v>947</v>
      </c>
      <c r="U83" s="304">
        <v>45379</v>
      </c>
    </row>
    <row r="84" spans="1:21" s="305" customFormat="1" ht="11" x14ac:dyDescent="0.15">
      <c r="A84" s="303" t="s">
        <v>482</v>
      </c>
      <c r="B84" s="303" t="s">
        <v>483</v>
      </c>
      <c r="C84" s="303" t="s">
        <v>480</v>
      </c>
      <c r="D84" s="303" t="s">
        <v>481</v>
      </c>
      <c r="E84" s="303" t="s">
        <v>165</v>
      </c>
      <c r="F84" s="303">
        <v>2</v>
      </c>
      <c r="G84" s="303">
        <v>2</v>
      </c>
      <c r="H84" s="303" t="s">
        <v>951</v>
      </c>
      <c r="I84" s="303" t="s">
        <v>949</v>
      </c>
      <c r="J84" s="303" t="s">
        <v>946</v>
      </c>
      <c r="K84" s="303">
        <v>1.4</v>
      </c>
      <c r="L84" s="303">
        <v>0.5</v>
      </c>
      <c r="M84" s="303">
        <v>1.8</v>
      </c>
      <c r="N84" s="303">
        <v>2.2999999999999998</v>
      </c>
      <c r="O84" s="303">
        <v>1.6</v>
      </c>
      <c r="P84" s="303">
        <v>3</v>
      </c>
      <c r="Q84" s="303">
        <v>1.9</v>
      </c>
      <c r="R84" s="303">
        <v>2.2000000000000002</v>
      </c>
      <c r="S84" s="303">
        <v>1.5</v>
      </c>
      <c r="T84" s="303" t="s">
        <v>943</v>
      </c>
      <c r="U84" s="304">
        <v>45378</v>
      </c>
    </row>
    <row r="85" spans="1:21" s="305" customFormat="1" ht="11" x14ac:dyDescent="0.15">
      <c r="A85" s="303" t="s">
        <v>913</v>
      </c>
      <c r="B85" s="303" t="s">
        <v>914</v>
      </c>
      <c r="C85" s="303" t="s">
        <v>586</v>
      </c>
      <c r="D85" s="303" t="s">
        <v>587</v>
      </c>
      <c r="E85" s="303" t="s">
        <v>160</v>
      </c>
      <c r="F85" s="303">
        <v>2</v>
      </c>
      <c r="G85" s="303">
        <v>2</v>
      </c>
      <c r="H85" s="303" t="s">
        <v>951</v>
      </c>
      <c r="I85" s="303" t="s">
        <v>949</v>
      </c>
      <c r="J85" s="303" t="s">
        <v>941</v>
      </c>
      <c r="K85" s="303">
        <v>2.2000000000000002</v>
      </c>
      <c r="L85" s="303">
        <v>3.1</v>
      </c>
      <c r="M85" s="303">
        <v>1.6</v>
      </c>
      <c r="N85" s="303">
        <v>2.8</v>
      </c>
      <c r="O85" s="303">
        <v>2.6</v>
      </c>
      <c r="P85" s="303">
        <v>3</v>
      </c>
      <c r="Q85" s="303">
        <v>0.7</v>
      </c>
      <c r="R85" s="303">
        <v>0.9</v>
      </c>
      <c r="S85" s="303">
        <v>0.5</v>
      </c>
      <c r="T85" s="303" t="s">
        <v>943</v>
      </c>
      <c r="U85" s="304">
        <v>45351</v>
      </c>
    </row>
    <row r="86" spans="1:21" s="305" customFormat="1" ht="11" x14ac:dyDescent="0.15">
      <c r="A86" s="303" t="s">
        <v>486</v>
      </c>
      <c r="B86" s="303" t="s">
        <v>487</v>
      </c>
      <c r="C86" s="303" t="s">
        <v>488</v>
      </c>
      <c r="D86" s="303" t="s">
        <v>489</v>
      </c>
      <c r="E86" s="303" t="s">
        <v>824</v>
      </c>
      <c r="F86" s="303">
        <v>1.7</v>
      </c>
      <c r="G86" s="303">
        <v>2</v>
      </c>
      <c r="H86" s="303" t="s">
        <v>951</v>
      </c>
      <c r="I86" s="303" t="s">
        <v>942</v>
      </c>
      <c r="J86" s="303" t="s">
        <v>941</v>
      </c>
      <c r="K86" s="303">
        <v>2.1</v>
      </c>
      <c r="L86" s="303">
        <v>3</v>
      </c>
      <c r="M86" s="303">
        <v>1.6</v>
      </c>
      <c r="N86" s="303">
        <v>1.35</v>
      </c>
      <c r="O86" s="303">
        <v>0.7</v>
      </c>
      <c r="P86" s="303">
        <v>2</v>
      </c>
      <c r="Q86" s="303">
        <v>2</v>
      </c>
      <c r="R86" s="303">
        <v>1.4</v>
      </c>
      <c r="S86" s="303">
        <v>2.5</v>
      </c>
      <c r="T86" s="303" t="s">
        <v>953</v>
      </c>
      <c r="U86" s="304">
        <v>45351</v>
      </c>
    </row>
    <row r="87" spans="1:21" x14ac:dyDescent="0.2">
      <c r="A87" s="301" t="s">
        <v>490</v>
      </c>
      <c r="B87" s="301" t="s">
        <v>491</v>
      </c>
      <c r="C87" s="301" t="s">
        <v>492</v>
      </c>
      <c r="D87" s="301" t="s">
        <v>493</v>
      </c>
      <c r="E87" s="301" t="s">
        <v>824</v>
      </c>
      <c r="F87" s="301">
        <v>2.2999999999999998</v>
      </c>
      <c r="G87" s="301">
        <v>3</v>
      </c>
      <c r="H87" s="301" t="s">
        <v>946</v>
      </c>
      <c r="I87" s="301" t="s">
        <v>945</v>
      </c>
      <c r="J87" s="301" t="s">
        <v>944</v>
      </c>
      <c r="K87" s="301">
        <v>3.4</v>
      </c>
      <c r="L87" s="301">
        <v>4.4000000000000004</v>
      </c>
      <c r="M87" s="301">
        <v>2.8</v>
      </c>
      <c r="N87" s="301">
        <v>1.25</v>
      </c>
      <c r="O87" s="301">
        <v>1.5</v>
      </c>
      <c r="P87" s="301">
        <v>1</v>
      </c>
      <c r="Q87" s="301">
        <v>2.7</v>
      </c>
      <c r="R87" s="301">
        <v>2.2999999999999998</v>
      </c>
      <c r="S87" s="301">
        <v>3</v>
      </c>
      <c r="T87" s="301" t="s">
        <v>947</v>
      </c>
      <c r="U87" s="301">
        <v>45364</v>
      </c>
    </row>
    <row r="88" spans="1:21" x14ac:dyDescent="0.2">
      <c r="A88" s="301" t="s">
        <v>915</v>
      </c>
      <c r="B88" s="301" t="s">
        <v>494</v>
      </c>
      <c r="C88" s="301" t="s">
        <v>588</v>
      </c>
      <c r="D88" s="301" t="s">
        <v>496</v>
      </c>
      <c r="E88" s="301" t="s">
        <v>821</v>
      </c>
      <c r="F88" s="301">
        <v>3.6</v>
      </c>
      <c r="G88" s="301">
        <v>4</v>
      </c>
      <c r="H88" s="301" t="s">
        <v>944</v>
      </c>
      <c r="I88" s="301" t="s">
        <v>949</v>
      </c>
      <c r="J88" s="301" t="s">
        <v>941</v>
      </c>
      <c r="K88" s="301">
        <v>3.5</v>
      </c>
      <c r="L88" s="301">
        <v>3.6</v>
      </c>
      <c r="M88" s="301">
        <v>3.4</v>
      </c>
      <c r="N88" s="301">
        <v>3.75</v>
      </c>
      <c r="O88" s="301">
        <v>4.5</v>
      </c>
      <c r="P88" s="301">
        <v>3</v>
      </c>
      <c r="Q88" s="301">
        <v>3.5</v>
      </c>
      <c r="R88" s="301">
        <v>2.9</v>
      </c>
      <c r="S88" s="301">
        <v>4</v>
      </c>
      <c r="T88" s="301" t="s">
        <v>948</v>
      </c>
      <c r="U88" s="301">
        <v>45378</v>
      </c>
    </row>
    <row r="89" spans="1:21" x14ac:dyDescent="0.2">
      <c r="A89" s="301" t="s">
        <v>501</v>
      </c>
      <c r="B89" s="301" t="s">
        <v>502</v>
      </c>
      <c r="C89" s="301" t="s">
        <v>503</v>
      </c>
      <c r="D89" s="301" t="s">
        <v>504</v>
      </c>
      <c r="E89" s="301" t="s">
        <v>832</v>
      </c>
      <c r="F89" s="301">
        <v>2.8</v>
      </c>
      <c r="G89" s="301">
        <v>3</v>
      </c>
      <c r="H89" s="301" t="s">
        <v>946</v>
      </c>
      <c r="I89" s="301" t="s">
        <v>945</v>
      </c>
      <c r="J89" s="301" t="s">
        <v>941</v>
      </c>
      <c r="K89" s="301">
        <v>3.1</v>
      </c>
      <c r="L89" s="301">
        <v>3.2</v>
      </c>
      <c r="M89" s="301">
        <v>3.1</v>
      </c>
      <c r="N89" s="301">
        <v>3.2</v>
      </c>
      <c r="O89" s="301">
        <v>3.4</v>
      </c>
      <c r="P89" s="301">
        <v>3</v>
      </c>
      <c r="Q89" s="301">
        <v>2</v>
      </c>
      <c r="R89" s="301">
        <v>1.9</v>
      </c>
      <c r="S89" s="301">
        <v>2</v>
      </c>
      <c r="T89" s="301" t="s">
        <v>947</v>
      </c>
      <c r="U89" s="301">
        <v>45381</v>
      </c>
    </row>
    <row r="90" spans="1:21" x14ac:dyDescent="0.2">
      <c r="A90" s="301" t="s">
        <v>511</v>
      </c>
      <c r="B90" s="301" t="s">
        <v>512</v>
      </c>
      <c r="C90" s="301" t="s">
        <v>509</v>
      </c>
      <c r="D90" s="301" t="s">
        <v>510</v>
      </c>
      <c r="E90" s="301" t="s">
        <v>824</v>
      </c>
      <c r="F90" s="301">
        <v>3.2</v>
      </c>
      <c r="G90" s="301">
        <v>4</v>
      </c>
      <c r="H90" s="301" t="s">
        <v>944</v>
      </c>
      <c r="I90" s="301" t="s">
        <v>949</v>
      </c>
      <c r="J90" s="301" t="s">
        <v>946</v>
      </c>
      <c r="K90" s="301">
        <v>3.2</v>
      </c>
      <c r="L90" s="301">
        <v>1.7</v>
      </c>
      <c r="M90" s="301">
        <v>3.8</v>
      </c>
      <c r="N90" s="301">
        <v>3.35</v>
      </c>
      <c r="O90" s="301">
        <v>3.7</v>
      </c>
      <c r="P90" s="301">
        <v>3</v>
      </c>
      <c r="Q90" s="301">
        <v>2.9</v>
      </c>
      <c r="R90" s="301">
        <v>3.6</v>
      </c>
      <c r="S90" s="301">
        <v>2</v>
      </c>
      <c r="T90" s="301" t="s">
        <v>947</v>
      </c>
      <c r="U90" s="301">
        <v>45379</v>
      </c>
    </row>
    <row r="91" spans="1:21" x14ac:dyDescent="0.2">
      <c r="A91" s="301" t="s">
        <v>920</v>
      </c>
      <c r="B91" s="301" t="s">
        <v>513</v>
      </c>
      <c r="C91" s="301" t="s">
        <v>94</v>
      </c>
      <c r="D91" s="301" t="s">
        <v>95</v>
      </c>
      <c r="E91" s="301" t="s">
        <v>809</v>
      </c>
      <c r="F91" s="301">
        <v>4.3</v>
      </c>
      <c r="G91" s="301">
        <v>5</v>
      </c>
      <c r="H91" s="301" t="s">
        <v>941</v>
      </c>
      <c r="I91" s="301" t="s">
        <v>949</v>
      </c>
      <c r="J91" s="301" t="s">
        <v>941</v>
      </c>
      <c r="K91" s="301">
        <v>4.5999999999999996</v>
      </c>
      <c r="L91" s="301">
        <v>4.9000000000000004</v>
      </c>
      <c r="M91" s="301">
        <v>4.5</v>
      </c>
      <c r="N91" s="301">
        <v>5</v>
      </c>
      <c r="O91" s="301">
        <v>5</v>
      </c>
      <c r="P91" s="301">
        <v>5</v>
      </c>
      <c r="Q91" s="301">
        <v>3.1</v>
      </c>
      <c r="R91" s="301">
        <v>2.6</v>
      </c>
      <c r="S91" s="301">
        <v>3.5</v>
      </c>
      <c r="T91" s="301" t="s">
        <v>952</v>
      </c>
      <c r="U91" s="301">
        <v>45379</v>
      </c>
    </row>
    <row r="92" spans="1:21" x14ac:dyDescent="0.2">
      <c r="A92" s="301" t="s">
        <v>514</v>
      </c>
      <c r="B92" s="301" t="s">
        <v>515</v>
      </c>
      <c r="C92" s="301" t="s">
        <v>96</v>
      </c>
      <c r="D92" s="301" t="s">
        <v>97</v>
      </c>
      <c r="E92" s="301" t="s">
        <v>921</v>
      </c>
      <c r="F92" s="301">
        <v>4.2</v>
      </c>
      <c r="G92" s="301">
        <v>5</v>
      </c>
      <c r="H92" s="301" t="s">
        <v>941</v>
      </c>
      <c r="I92" s="301" t="s">
        <v>942</v>
      </c>
      <c r="J92" s="301" t="s">
        <v>941</v>
      </c>
      <c r="K92" s="301">
        <v>4.3</v>
      </c>
      <c r="L92" s="301">
        <v>4.9000000000000004</v>
      </c>
      <c r="M92" s="301">
        <v>3.9</v>
      </c>
      <c r="N92" s="301">
        <v>4.4000000000000004</v>
      </c>
      <c r="O92" s="301">
        <v>4.8</v>
      </c>
      <c r="P92" s="301">
        <v>4</v>
      </c>
      <c r="Q92" s="301">
        <v>3.7</v>
      </c>
      <c r="R92" s="301">
        <v>3.3</v>
      </c>
      <c r="S92" s="301">
        <v>4</v>
      </c>
      <c r="T92" s="301" t="s">
        <v>953</v>
      </c>
      <c r="U92" s="301">
        <v>45351</v>
      </c>
    </row>
    <row r="93" spans="1:21" x14ac:dyDescent="0.2">
      <c r="A93" s="301" t="s">
        <v>516</v>
      </c>
      <c r="B93" s="301" t="s">
        <v>517</v>
      </c>
      <c r="C93" s="301" t="s">
        <v>51</v>
      </c>
      <c r="D93" s="301" t="s">
        <v>52</v>
      </c>
      <c r="E93" s="301" t="s">
        <v>165</v>
      </c>
      <c r="F93" s="301">
        <v>4.7</v>
      </c>
      <c r="G93" s="301">
        <v>5</v>
      </c>
      <c r="H93" s="301" t="s">
        <v>941</v>
      </c>
      <c r="I93" s="301" t="s">
        <v>949</v>
      </c>
      <c r="J93" s="301" t="s">
        <v>941</v>
      </c>
      <c r="K93" s="301">
        <v>4.8</v>
      </c>
      <c r="L93" s="301">
        <v>4.9000000000000004</v>
      </c>
      <c r="M93" s="301">
        <v>4.8</v>
      </c>
      <c r="N93" s="301">
        <v>5</v>
      </c>
      <c r="O93" s="301">
        <v>5</v>
      </c>
      <c r="P93" s="301">
        <v>5</v>
      </c>
      <c r="Q93" s="301">
        <v>4.3</v>
      </c>
      <c r="R93" s="301">
        <v>4</v>
      </c>
      <c r="S93" s="301">
        <v>4.5</v>
      </c>
      <c r="T93" s="301" t="s">
        <v>948</v>
      </c>
      <c r="U93" s="301">
        <v>45382</v>
      </c>
    </row>
    <row r="94" spans="1:21" x14ac:dyDescent="0.2">
      <c r="A94" s="301" t="s">
        <v>520</v>
      </c>
      <c r="B94" s="301" t="s">
        <v>521</v>
      </c>
      <c r="C94" s="301" t="s">
        <v>522</v>
      </c>
      <c r="D94" s="301" t="s">
        <v>523</v>
      </c>
      <c r="E94" s="301" t="s">
        <v>219</v>
      </c>
      <c r="F94" s="301">
        <v>3.3</v>
      </c>
      <c r="G94" s="301">
        <v>4</v>
      </c>
      <c r="H94" s="301" t="s">
        <v>944</v>
      </c>
      <c r="I94" s="301" t="s">
        <v>945</v>
      </c>
      <c r="J94" s="301" t="s">
        <v>944</v>
      </c>
      <c r="K94" s="301">
        <v>4.2</v>
      </c>
      <c r="L94" s="301">
        <v>4</v>
      </c>
      <c r="M94" s="301">
        <v>4.3</v>
      </c>
      <c r="N94" s="301">
        <v>3.4</v>
      </c>
      <c r="O94" s="301">
        <v>3.8</v>
      </c>
      <c r="P94" s="301">
        <v>3</v>
      </c>
      <c r="Q94" s="301">
        <v>2.2999999999999998</v>
      </c>
      <c r="R94" s="301">
        <v>2.5</v>
      </c>
      <c r="S94" s="301">
        <v>2</v>
      </c>
      <c r="T94" s="301" t="s">
        <v>947</v>
      </c>
      <c r="U94" s="301">
        <v>45381</v>
      </c>
    </row>
    <row r="95" spans="1:21" x14ac:dyDescent="0.2">
      <c r="A95" s="301" t="s">
        <v>524</v>
      </c>
      <c r="B95" s="301" t="s">
        <v>525</v>
      </c>
      <c r="C95" s="301" t="s">
        <v>526</v>
      </c>
      <c r="D95" s="301" t="s">
        <v>527</v>
      </c>
      <c r="E95" s="301" t="s">
        <v>922</v>
      </c>
      <c r="F95" s="301">
        <v>3.6</v>
      </c>
      <c r="G95" s="301">
        <v>4</v>
      </c>
      <c r="H95" s="301" t="s">
        <v>944</v>
      </c>
      <c r="I95" s="301" t="s">
        <v>949</v>
      </c>
      <c r="J95" s="301" t="s">
        <v>944</v>
      </c>
      <c r="K95" s="301">
        <v>4.0999999999999996</v>
      </c>
      <c r="L95" s="301">
        <v>4.5999999999999996</v>
      </c>
      <c r="M95" s="301">
        <v>3.8</v>
      </c>
      <c r="N95" s="301">
        <v>3.6</v>
      </c>
      <c r="O95" s="301">
        <v>4.2</v>
      </c>
      <c r="P95" s="301">
        <v>3</v>
      </c>
      <c r="Q95" s="301">
        <v>3.2</v>
      </c>
      <c r="R95" s="301">
        <v>3.3</v>
      </c>
      <c r="S95" s="301">
        <v>3</v>
      </c>
      <c r="T95" s="301" t="s">
        <v>947</v>
      </c>
      <c r="U95" s="301">
        <v>45381</v>
      </c>
    </row>
  </sheetData>
  <sheetProtection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02DB-EACE-4150-B942-28AE4A418A8D}">
  <dimension ref="A1:S38"/>
  <sheetViews>
    <sheetView showGridLines="0" zoomScale="150" zoomScaleNormal="150" workbookViewId="0">
      <selection activeCell="N43" sqref="N43"/>
    </sheetView>
  </sheetViews>
  <sheetFormatPr baseColWidth="10" defaultColWidth="9" defaultRowHeight="11" x14ac:dyDescent="0.15"/>
  <cols>
    <col min="1" max="1" width="9" style="237"/>
    <col min="2" max="2" width="6.6640625" style="237" customWidth="1"/>
    <col min="3" max="14" width="13" style="236" customWidth="1"/>
    <col min="15" max="19" width="13" style="238" customWidth="1"/>
    <col min="20" max="16384" width="9" style="236"/>
  </cols>
  <sheetData>
    <row r="1" spans="1:19" ht="36" x14ac:dyDescent="0.15">
      <c r="A1" s="320" t="s">
        <v>45</v>
      </c>
      <c r="B1" s="320" t="s">
        <v>47</v>
      </c>
      <c r="C1" s="286" t="s">
        <v>1132</v>
      </c>
      <c r="D1" s="286" t="s">
        <v>1142</v>
      </c>
      <c r="E1" s="286" t="s">
        <v>1143</v>
      </c>
      <c r="F1" s="286" t="s">
        <v>1133</v>
      </c>
      <c r="G1" s="286" t="s">
        <v>1134</v>
      </c>
      <c r="H1" s="286" t="s">
        <v>1135</v>
      </c>
      <c r="I1" s="286" t="s">
        <v>1136</v>
      </c>
      <c r="J1" s="287" t="s">
        <v>1137</v>
      </c>
      <c r="K1" s="287" t="s">
        <v>1138</v>
      </c>
      <c r="L1" s="287" t="s">
        <v>1139</v>
      </c>
      <c r="M1" s="287" t="s">
        <v>1140</v>
      </c>
      <c r="N1" s="287" t="s">
        <v>1141</v>
      </c>
      <c r="O1" s="321"/>
      <c r="P1" s="321"/>
      <c r="Q1" s="321"/>
      <c r="R1" s="321"/>
      <c r="S1" s="321"/>
    </row>
    <row r="2" spans="1:19" x14ac:dyDescent="0.15">
      <c r="A2" s="322" t="s">
        <v>48</v>
      </c>
      <c r="B2" s="322" t="s">
        <v>50</v>
      </c>
      <c r="C2" s="323">
        <v>4442200000</v>
      </c>
      <c r="D2" s="323">
        <v>3034000000</v>
      </c>
      <c r="E2" s="323">
        <v>45000000</v>
      </c>
      <c r="F2" s="323">
        <v>26000000</v>
      </c>
      <c r="G2" s="323">
        <v>3307628188</v>
      </c>
      <c r="H2" s="323">
        <v>22072409</v>
      </c>
      <c r="I2" s="323">
        <v>26058498</v>
      </c>
      <c r="J2" s="323">
        <v>3227372908</v>
      </c>
      <c r="K2" s="323">
        <v>1758044820</v>
      </c>
      <c r="L2" s="323">
        <v>29704476</v>
      </c>
      <c r="M2" s="323">
        <v>37186580</v>
      </c>
      <c r="N2" s="323">
        <v>21325750</v>
      </c>
      <c r="O2" s="324"/>
      <c r="P2" s="324"/>
      <c r="Q2" s="324"/>
      <c r="R2" s="324"/>
      <c r="S2" s="324"/>
    </row>
    <row r="3" spans="1:19" x14ac:dyDescent="0.15">
      <c r="A3" s="322" t="s">
        <v>133</v>
      </c>
      <c r="B3" s="322" t="s">
        <v>134</v>
      </c>
      <c r="C3" s="323">
        <v>881030780</v>
      </c>
      <c r="D3" s="323">
        <v>302478556</v>
      </c>
      <c r="E3" s="323">
        <v>22000000</v>
      </c>
      <c r="F3" s="323">
        <v>21297565</v>
      </c>
      <c r="G3" s="323">
        <v>611468412</v>
      </c>
      <c r="H3" s="323">
        <v>1459862</v>
      </c>
      <c r="I3" s="323">
        <v>1440303</v>
      </c>
      <c r="J3" s="323">
        <v>875927365</v>
      </c>
      <c r="K3" s="323">
        <v>327068866</v>
      </c>
      <c r="L3" s="323">
        <v>24230452</v>
      </c>
      <c r="M3" s="323">
        <v>20391767</v>
      </c>
      <c r="N3" s="323">
        <v>1473229</v>
      </c>
      <c r="O3" s="324"/>
      <c r="P3" s="324"/>
      <c r="Q3" s="324"/>
      <c r="R3" s="324"/>
      <c r="S3" s="324"/>
    </row>
    <row r="4" spans="1:19" x14ac:dyDescent="0.15">
      <c r="A4" s="322" t="s">
        <v>98</v>
      </c>
      <c r="B4" s="322" t="s">
        <v>99</v>
      </c>
      <c r="C4" s="323">
        <v>805099698</v>
      </c>
      <c r="D4" s="323">
        <v>390554673</v>
      </c>
      <c r="E4" s="323">
        <v>25391613</v>
      </c>
      <c r="F4" s="323">
        <v>61144992</v>
      </c>
      <c r="G4" s="323">
        <v>350315575</v>
      </c>
      <c r="H4" s="323">
        <v>3792333</v>
      </c>
      <c r="I4" s="323">
        <v>2160677</v>
      </c>
      <c r="J4" s="323">
        <v>876731475</v>
      </c>
      <c r="K4" s="323">
        <v>437601349</v>
      </c>
      <c r="L4" s="323">
        <v>31773189</v>
      </c>
      <c r="M4" s="323">
        <v>71730240</v>
      </c>
      <c r="N4" s="323">
        <v>3124881</v>
      </c>
      <c r="O4" s="324"/>
      <c r="P4" s="324"/>
      <c r="Q4" s="324"/>
      <c r="R4" s="324"/>
      <c r="S4" s="324"/>
    </row>
    <row r="5" spans="1:19" x14ac:dyDescent="0.15">
      <c r="A5" s="322" t="s">
        <v>88</v>
      </c>
      <c r="B5" s="322" t="s">
        <v>89</v>
      </c>
      <c r="C5" s="323">
        <v>182414025</v>
      </c>
      <c r="D5" s="323">
        <v>38045162</v>
      </c>
      <c r="E5" s="323">
        <v>4218720</v>
      </c>
      <c r="F5" s="323">
        <v>3052513</v>
      </c>
      <c r="G5" s="323">
        <v>77440116</v>
      </c>
      <c r="H5" s="323">
        <v>947410</v>
      </c>
      <c r="I5" s="323">
        <v>664526</v>
      </c>
      <c r="J5" s="323">
        <v>237180119</v>
      </c>
      <c r="K5" s="323">
        <v>91925000</v>
      </c>
      <c r="L5" s="323">
        <v>931500</v>
      </c>
      <c r="M5" s="323">
        <v>1889750</v>
      </c>
      <c r="N5" s="323">
        <v>1603885</v>
      </c>
      <c r="O5" s="324"/>
      <c r="P5" s="324"/>
      <c r="Q5" s="324"/>
      <c r="R5" s="324"/>
      <c r="S5" s="324"/>
    </row>
    <row r="6" spans="1:19" x14ac:dyDescent="0.15">
      <c r="A6" s="322" t="s">
        <v>92</v>
      </c>
      <c r="B6" s="322" t="s">
        <v>93</v>
      </c>
      <c r="C6" s="323">
        <v>376046051</v>
      </c>
      <c r="D6" s="323">
        <v>137721726</v>
      </c>
      <c r="E6" s="323">
        <v>19757761</v>
      </c>
      <c r="F6" s="323">
        <v>22875967</v>
      </c>
      <c r="G6" s="323">
        <v>207510688</v>
      </c>
      <c r="H6" s="323">
        <v>2612681</v>
      </c>
      <c r="I6" s="323">
        <v>1483829</v>
      </c>
      <c r="J6" s="323">
        <v>407309869</v>
      </c>
      <c r="K6" s="323">
        <v>156973939</v>
      </c>
      <c r="L6" s="323">
        <v>18131206</v>
      </c>
      <c r="M6" s="323">
        <v>16318946</v>
      </c>
      <c r="N6" s="323">
        <v>2702139</v>
      </c>
      <c r="O6" s="324"/>
      <c r="P6" s="324"/>
      <c r="Q6" s="324"/>
      <c r="R6" s="324"/>
      <c r="S6" s="324"/>
    </row>
    <row r="7" spans="1:19" x14ac:dyDescent="0.15">
      <c r="A7" s="322" t="s">
        <v>75</v>
      </c>
      <c r="B7" s="322" t="s">
        <v>76</v>
      </c>
      <c r="C7" s="323">
        <v>461253975</v>
      </c>
      <c r="D7" s="323">
        <v>188152372</v>
      </c>
      <c r="E7" s="323">
        <v>12000000</v>
      </c>
      <c r="F7" s="323">
        <v>8700000</v>
      </c>
      <c r="G7" s="323">
        <v>452603973</v>
      </c>
      <c r="H7" s="323">
        <v>2040973</v>
      </c>
      <c r="I7" s="323">
        <v>1470959</v>
      </c>
      <c r="J7" s="323">
        <v>533305798</v>
      </c>
      <c r="K7" s="323">
        <v>254286655</v>
      </c>
      <c r="L7" s="323">
        <v>14436157</v>
      </c>
      <c r="M7" s="323">
        <v>10480000</v>
      </c>
      <c r="N7" s="323">
        <v>2435685</v>
      </c>
      <c r="O7" s="324"/>
      <c r="P7" s="324"/>
      <c r="Q7" s="324"/>
      <c r="R7" s="324"/>
      <c r="S7" s="324"/>
    </row>
    <row r="8" spans="1:19" x14ac:dyDescent="0.15">
      <c r="A8" s="322" t="s">
        <v>67</v>
      </c>
      <c r="B8" s="322" t="s">
        <v>68</v>
      </c>
      <c r="C8" s="323">
        <v>510909899</v>
      </c>
      <c r="D8" s="323">
        <v>319404593</v>
      </c>
      <c r="E8" s="323">
        <v>10664719</v>
      </c>
      <c r="F8" s="323">
        <v>5859485</v>
      </c>
      <c r="G8" s="323">
        <v>312705464</v>
      </c>
      <c r="H8" s="323">
        <v>3943266</v>
      </c>
      <c r="I8" s="323">
        <v>2832962</v>
      </c>
      <c r="J8" s="323">
        <v>920624766</v>
      </c>
      <c r="K8" s="323">
        <v>251734981</v>
      </c>
      <c r="L8" s="323">
        <v>5963151</v>
      </c>
      <c r="M8" s="323">
        <v>6880433</v>
      </c>
      <c r="N8" s="323">
        <v>5227617</v>
      </c>
      <c r="O8" s="324"/>
      <c r="P8" s="324"/>
      <c r="Q8" s="324"/>
      <c r="R8" s="324"/>
      <c r="S8" s="324"/>
    </row>
    <row r="9" spans="1:19" x14ac:dyDescent="0.15">
      <c r="A9" s="322" t="s">
        <v>104</v>
      </c>
      <c r="B9" s="322" t="s">
        <v>105</v>
      </c>
      <c r="C9" s="323">
        <v>282854048</v>
      </c>
      <c r="D9" s="323">
        <v>54909818</v>
      </c>
      <c r="E9" s="323">
        <v>12449500</v>
      </c>
      <c r="F9" s="323">
        <v>13104162</v>
      </c>
      <c r="G9" s="323">
        <v>118871949</v>
      </c>
      <c r="H9" s="323">
        <v>1598015</v>
      </c>
      <c r="I9" s="323">
        <v>1481399</v>
      </c>
      <c r="J9" s="323">
        <v>283317893</v>
      </c>
      <c r="K9" s="323">
        <v>55809430</v>
      </c>
      <c r="L9" s="323">
        <v>19625957</v>
      </c>
      <c r="M9" s="323">
        <v>21421960</v>
      </c>
      <c r="N9" s="323">
        <v>1565722</v>
      </c>
      <c r="O9" s="324"/>
      <c r="P9" s="324"/>
      <c r="Q9" s="324"/>
      <c r="R9" s="324"/>
      <c r="S9" s="324"/>
    </row>
    <row r="10" spans="1:19" x14ac:dyDescent="0.15">
      <c r="A10" s="322" t="s">
        <v>63</v>
      </c>
      <c r="B10" s="322" t="s">
        <v>64</v>
      </c>
      <c r="C10" s="323">
        <v>1881674597</v>
      </c>
      <c r="D10" s="323">
        <v>1039329856</v>
      </c>
      <c r="E10" s="323">
        <v>43436304</v>
      </c>
      <c r="F10" s="323">
        <v>29286982</v>
      </c>
      <c r="G10" s="323">
        <v>1004216996</v>
      </c>
      <c r="H10" s="323">
        <v>8811320</v>
      </c>
      <c r="I10" s="323">
        <v>7317515</v>
      </c>
      <c r="J10" s="323">
        <v>2252684083</v>
      </c>
      <c r="K10" s="323">
        <v>1511358052</v>
      </c>
      <c r="L10" s="323">
        <v>43876785</v>
      </c>
      <c r="M10" s="323">
        <v>37936342</v>
      </c>
      <c r="N10" s="323">
        <v>10026830</v>
      </c>
      <c r="O10" s="324"/>
      <c r="P10" s="324"/>
      <c r="Q10" s="324"/>
      <c r="R10" s="324"/>
      <c r="S10" s="324"/>
    </row>
    <row r="11" spans="1:19" x14ac:dyDescent="0.15">
      <c r="A11" s="322" t="s">
        <v>114</v>
      </c>
      <c r="B11" s="322" t="s">
        <v>115</v>
      </c>
      <c r="C11" s="323">
        <v>114317607</v>
      </c>
      <c r="D11" s="323">
        <v>32885405</v>
      </c>
      <c r="E11" s="323">
        <v>2410898</v>
      </c>
      <c r="F11" s="323">
        <v>3028872</v>
      </c>
      <c r="G11" s="323">
        <v>33391763</v>
      </c>
      <c r="H11" s="323">
        <v>912200</v>
      </c>
      <c r="I11" s="323">
        <v>208565</v>
      </c>
      <c r="J11" s="323">
        <v>98416155</v>
      </c>
      <c r="K11" s="323">
        <v>34195000</v>
      </c>
      <c r="L11" s="323">
        <v>5200000</v>
      </c>
      <c r="M11" s="323">
        <v>7080519</v>
      </c>
      <c r="N11" s="323">
        <v>496568</v>
      </c>
      <c r="O11" s="324"/>
      <c r="P11" s="324"/>
      <c r="Q11" s="324"/>
      <c r="R11" s="324"/>
      <c r="S11" s="324"/>
    </row>
    <row r="12" spans="1:19" x14ac:dyDescent="0.15">
      <c r="A12" s="322" t="s">
        <v>61</v>
      </c>
      <c r="B12" s="322" t="s">
        <v>62</v>
      </c>
      <c r="C12" s="323">
        <v>3335002211</v>
      </c>
      <c r="D12" s="323">
        <v>2047052150</v>
      </c>
      <c r="E12" s="323">
        <v>95300000</v>
      </c>
      <c r="F12" s="323">
        <v>73885151</v>
      </c>
      <c r="G12" s="323">
        <v>1738832601</v>
      </c>
      <c r="H12" s="323">
        <v>20000000</v>
      </c>
      <c r="I12" s="323">
        <v>20986669</v>
      </c>
      <c r="J12" s="323">
        <v>3994813508</v>
      </c>
      <c r="K12" s="323">
        <v>2299636217</v>
      </c>
      <c r="L12" s="323">
        <v>108778468</v>
      </c>
      <c r="M12" s="323">
        <v>95511443</v>
      </c>
      <c r="N12" s="323">
        <v>20100000</v>
      </c>
      <c r="O12" s="324"/>
      <c r="P12" s="324"/>
      <c r="Q12" s="324"/>
      <c r="R12" s="324"/>
      <c r="S12" s="324"/>
    </row>
    <row r="13" spans="1:19" x14ac:dyDescent="0.15">
      <c r="A13" s="322" t="s">
        <v>102</v>
      </c>
      <c r="B13" s="322" t="s">
        <v>103</v>
      </c>
      <c r="C13" s="323">
        <v>153531304</v>
      </c>
      <c r="D13" s="323">
        <v>24062017</v>
      </c>
      <c r="E13" s="323">
        <v>2250000</v>
      </c>
      <c r="F13" s="323">
        <v>2159000</v>
      </c>
      <c r="G13" s="323">
        <v>57314025</v>
      </c>
      <c r="H13" s="323">
        <v>1680000</v>
      </c>
      <c r="I13" s="323">
        <v>539125</v>
      </c>
      <c r="J13" s="323">
        <v>126145348</v>
      </c>
      <c r="K13" s="323">
        <v>36123468</v>
      </c>
      <c r="L13" s="323">
        <v>3700000</v>
      </c>
      <c r="M13" s="323">
        <v>5900000</v>
      </c>
      <c r="N13" s="323">
        <v>2300000</v>
      </c>
      <c r="O13" s="324"/>
      <c r="P13" s="324"/>
      <c r="Q13" s="324"/>
      <c r="R13" s="324"/>
      <c r="S13" s="324"/>
    </row>
    <row r="14" spans="1:19" x14ac:dyDescent="0.15">
      <c r="A14" s="322" t="s">
        <v>71</v>
      </c>
      <c r="B14" s="322" t="s">
        <v>72</v>
      </c>
      <c r="C14" s="323">
        <v>373165734</v>
      </c>
      <c r="D14" s="323">
        <v>252928884</v>
      </c>
      <c r="E14" s="323">
        <v>5800000</v>
      </c>
      <c r="F14" s="323">
        <v>11214665</v>
      </c>
      <c r="G14" s="323">
        <v>192186339</v>
      </c>
      <c r="H14" s="323">
        <v>2500000</v>
      </c>
      <c r="I14" s="323">
        <v>2392000</v>
      </c>
      <c r="J14" s="323">
        <v>719857713</v>
      </c>
      <c r="K14" s="323">
        <v>477772400</v>
      </c>
      <c r="L14" s="323">
        <v>12084610</v>
      </c>
      <c r="M14" s="323">
        <v>20100000</v>
      </c>
      <c r="N14" s="323">
        <v>3150353</v>
      </c>
      <c r="O14" s="324"/>
      <c r="P14" s="324"/>
      <c r="Q14" s="324"/>
      <c r="R14" s="324"/>
      <c r="S14" s="324"/>
    </row>
    <row r="15" spans="1:19" x14ac:dyDescent="0.15">
      <c r="A15" s="322" t="s">
        <v>108</v>
      </c>
      <c r="B15" s="322" t="s">
        <v>109</v>
      </c>
      <c r="C15" s="323">
        <v>155296363</v>
      </c>
      <c r="D15" s="323">
        <v>49519464</v>
      </c>
      <c r="E15" s="323">
        <v>5404448</v>
      </c>
      <c r="F15" s="323">
        <v>6914207</v>
      </c>
      <c r="G15" s="323">
        <v>66868714</v>
      </c>
      <c r="H15" s="323">
        <v>1800000</v>
      </c>
      <c r="I15" s="323">
        <v>960000</v>
      </c>
      <c r="J15" s="323">
        <v>280360869</v>
      </c>
      <c r="K15" s="323">
        <v>140389712</v>
      </c>
      <c r="L15" s="323">
        <v>13380000</v>
      </c>
      <c r="M15" s="323">
        <v>15000000</v>
      </c>
      <c r="N15" s="323">
        <v>2100000</v>
      </c>
      <c r="O15" s="324"/>
      <c r="P15" s="324"/>
      <c r="Q15" s="324"/>
      <c r="R15" s="324"/>
      <c r="S15" s="324"/>
    </row>
    <row r="16" spans="1:19" x14ac:dyDescent="0.15">
      <c r="A16" s="322" t="s">
        <v>110</v>
      </c>
      <c r="B16" s="322" t="s">
        <v>111</v>
      </c>
      <c r="C16" s="323">
        <v>400004347</v>
      </c>
      <c r="D16" s="323">
        <v>130498116</v>
      </c>
      <c r="E16" s="323">
        <v>36217553</v>
      </c>
      <c r="F16" s="323">
        <v>30057079</v>
      </c>
      <c r="G16" s="323">
        <v>362762663</v>
      </c>
      <c r="H16" s="323">
        <v>991037</v>
      </c>
      <c r="I16" s="323">
        <v>1524397</v>
      </c>
      <c r="J16" s="323">
        <v>0</v>
      </c>
      <c r="K16" s="323">
        <v>0</v>
      </c>
      <c r="L16" s="323">
        <v>0</v>
      </c>
      <c r="M16" s="323">
        <v>0</v>
      </c>
      <c r="N16" s="323">
        <v>0</v>
      </c>
      <c r="O16" s="324"/>
      <c r="P16" s="324"/>
      <c r="Q16" s="324"/>
      <c r="R16" s="324"/>
      <c r="S16" s="324"/>
    </row>
    <row r="17" spans="1:19" x14ac:dyDescent="0.15">
      <c r="A17" s="322" t="s">
        <v>112</v>
      </c>
      <c r="B17" s="322" t="s">
        <v>113</v>
      </c>
      <c r="C17" s="323">
        <v>378175867</v>
      </c>
      <c r="D17" s="323">
        <v>156129646</v>
      </c>
      <c r="E17" s="323">
        <v>25132022</v>
      </c>
      <c r="F17" s="323">
        <v>21432922</v>
      </c>
      <c r="G17" s="323">
        <v>328109888</v>
      </c>
      <c r="H17" s="323">
        <v>1000000</v>
      </c>
      <c r="I17" s="323">
        <v>0</v>
      </c>
      <c r="J17" s="323">
        <v>200203540</v>
      </c>
      <c r="K17" s="323">
        <v>0</v>
      </c>
      <c r="L17" s="323">
        <v>13447207</v>
      </c>
      <c r="M17" s="323">
        <v>24618263</v>
      </c>
      <c r="N17" s="323">
        <v>1258700</v>
      </c>
      <c r="O17" s="324"/>
      <c r="P17" s="324"/>
      <c r="Q17" s="324"/>
      <c r="R17" s="324"/>
      <c r="S17" s="324"/>
    </row>
    <row r="18" spans="1:19" x14ac:dyDescent="0.15">
      <c r="A18" s="322" t="s">
        <v>84</v>
      </c>
      <c r="B18" s="322" t="s">
        <v>85</v>
      </c>
      <c r="C18" s="323">
        <v>113799273</v>
      </c>
      <c r="D18" s="323">
        <v>34126913</v>
      </c>
      <c r="E18" s="323">
        <v>3357239</v>
      </c>
      <c r="F18" s="323">
        <v>3484625</v>
      </c>
      <c r="G18" s="323">
        <v>93656887</v>
      </c>
      <c r="H18" s="323">
        <v>398930</v>
      </c>
      <c r="I18" s="323">
        <v>220000</v>
      </c>
      <c r="J18" s="323">
        <v>37731860</v>
      </c>
      <c r="K18" s="323">
        <v>12403750</v>
      </c>
      <c r="L18" s="323">
        <v>360000</v>
      </c>
      <c r="M18" s="323">
        <v>1560000</v>
      </c>
      <c r="N18" s="323">
        <v>250000</v>
      </c>
      <c r="O18" s="324"/>
      <c r="P18" s="324"/>
      <c r="Q18" s="324"/>
      <c r="R18" s="324"/>
      <c r="S18" s="324"/>
    </row>
    <row r="19" spans="1:19" x14ac:dyDescent="0.15">
      <c r="A19" s="322" t="s">
        <v>81</v>
      </c>
      <c r="B19" s="322" t="s">
        <v>83</v>
      </c>
      <c r="C19" s="323">
        <v>219267779</v>
      </c>
      <c r="D19" s="323">
        <v>170042200</v>
      </c>
      <c r="E19" s="323">
        <v>950001</v>
      </c>
      <c r="F19" s="323">
        <v>530833</v>
      </c>
      <c r="G19" s="323">
        <v>192417844</v>
      </c>
      <c r="H19" s="323">
        <v>1930000</v>
      </c>
      <c r="I19" s="323">
        <v>0</v>
      </c>
      <c r="J19" s="323">
        <v>214681354</v>
      </c>
      <c r="K19" s="323">
        <v>165343554</v>
      </c>
      <c r="L19" s="323">
        <v>1620000</v>
      </c>
      <c r="M19" s="323">
        <v>600000</v>
      </c>
      <c r="N19" s="323">
        <v>1948148</v>
      </c>
      <c r="O19" s="324"/>
      <c r="P19" s="324"/>
      <c r="Q19" s="324"/>
      <c r="R19" s="324"/>
      <c r="S19" s="324"/>
    </row>
    <row r="20" spans="1:19" x14ac:dyDescent="0.15">
      <c r="A20" s="322" t="s">
        <v>65</v>
      </c>
      <c r="B20" s="322" t="s">
        <v>66</v>
      </c>
      <c r="C20" s="323">
        <v>685734819</v>
      </c>
      <c r="D20" s="323">
        <v>315722744</v>
      </c>
      <c r="E20" s="323">
        <v>17711555</v>
      </c>
      <c r="F20" s="323">
        <v>28289657</v>
      </c>
      <c r="G20" s="323">
        <v>299356391</v>
      </c>
      <c r="H20" s="323">
        <v>5264731</v>
      </c>
      <c r="I20" s="323">
        <v>5728174</v>
      </c>
      <c r="J20" s="323">
        <v>751470941</v>
      </c>
      <c r="K20" s="323">
        <v>332066979</v>
      </c>
      <c r="L20" s="323">
        <v>22055600</v>
      </c>
      <c r="M20" s="323">
        <v>39243350</v>
      </c>
      <c r="N20" s="323">
        <v>5651625</v>
      </c>
      <c r="O20" s="324"/>
      <c r="P20" s="324"/>
      <c r="Q20" s="324"/>
      <c r="R20" s="324"/>
      <c r="S20" s="324"/>
    </row>
    <row r="21" spans="1:19" x14ac:dyDescent="0.15">
      <c r="A21" s="322" t="s">
        <v>100</v>
      </c>
      <c r="B21" s="322" t="s">
        <v>101</v>
      </c>
      <c r="C21" s="323">
        <v>388499803</v>
      </c>
      <c r="D21" s="323">
        <v>229104274</v>
      </c>
      <c r="E21" s="323">
        <v>10870840</v>
      </c>
      <c r="F21" s="323">
        <v>18046938</v>
      </c>
      <c r="G21" s="323">
        <v>278167772</v>
      </c>
      <c r="H21" s="323">
        <v>1200000</v>
      </c>
      <c r="I21" s="323">
        <v>1335131</v>
      </c>
      <c r="J21" s="323">
        <v>512912994</v>
      </c>
      <c r="K21" s="323">
        <v>290857393</v>
      </c>
      <c r="L21" s="323">
        <v>19000000</v>
      </c>
      <c r="M21" s="323">
        <v>19009000</v>
      </c>
      <c r="N21" s="323">
        <v>1565389</v>
      </c>
      <c r="O21" s="324"/>
      <c r="P21" s="324"/>
      <c r="Q21" s="324"/>
      <c r="R21" s="324"/>
      <c r="S21" s="324"/>
    </row>
    <row r="22" spans="1:19" x14ac:dyDescent="0.15">
      <c r="A22" s="322" t="s">
        <v>69</v>
      </c>
      <c r="B22" s="322" t="s">
        <v>70</v>
      </c>
      <c r="C22" s="323">
        <v>825698032</v>
      </c>
      <c r="D22" s="323">
        <v>336000000</v>
      </c>
      <c r="E22" s="323">
        <v>33000000</v>
      </c>
      <c r="F22" s="323">
        <v>15000000</v>
      </c>
      <c r="G22" s="323">
        <v>379011257</v>
      </c>
      <c r="H22" s="323">
        <v>6187244</v>
      </c>
      <c r="I22" s="323">
        <v>4398324</v>
      </c>
      <c r="J22" s="323">
        <v>886738899</v>
      </c>
      <c r="K22" s="323">
        <v>342521434</v>
      </c>
      <c r="L22" s="323">
        <v>35579411</v>
      </c>
      <c r="M22" s="323">
        <v>22586371</v>
      </c>
      <c r="N22" s="323">
        <v>4969059</v>
      </c>
      <c r="O22" s="324"/>
      <c r="P22" s="324"/>
      <c r="Q22" s="324"/>
      <c r="R22" s="324"/>
      <c r="S22" s="324"/>
    </row>
    <row r="23" spans="1:19" x14ac:dyDescent="0.15">
      <c r="A23" s="322" t="s">
        <v>90</v>
      </c>
      <c r="B23" s="322" t="s">
        <v>91</v>
      </c>
      <c r="C23" s="323">
        <v>552598446</v>
      </c>
      <c r="D23" s="323">
        <v>235354400</v>
      </c>
      <c r="E23" s="323">
        <v>20785726</v>
      </c>
      <c r="F23" s="323">
        <v>9284488</v>
      </c>
      <c r="G23" s="323">
        <v>381878211</v>
      </c>
      <c r="H23" s="323">
        <v>2390726</v>
      </c>
      <c r="I23" s="323">
        <v>3185113</v>
      </c>
      <c r="J23" s="323">
        <v>583906619</v>
      </c>
      <c r="K23" s="323">
        <v>201242662</v>
      </c>
      <c r="L23" s="323">
        <v>37863617</v>
      </c>
      <c r="M23" s="323">
        <v>15312506</v>
      </c>
      <c r="N23" s="323">
        <v>2695660</v>
      </c>
      <c r="O23" s="324"/>
      <c r="P23" s="324"/>
      <c r="Q23" s="324"/>
      <c r="R23" s="324"/>
      <c r="S23" s="324"/>
    </row>
    <row r="24" spans="1:19" x14ac:dyDescent="0.15">
      <c r="A24" s="322" t="s">
        <v>79</v>
      </c>
      <c r="B24" s="322" t="s">
        <v>80</v>
      </c>
      <c r="C24" s="323">
        <v>1127211641</v>
      </c>
      <c r="D24" s="323">
        <v>515161357</v>
      </c>
      <c r="E24" s="323">
        <v>33148363</v>
      </c>
      <c r="F24" s="323">
        <v>19431870</v>
      </c>
      <c r="G24" s="323">
        <v>756266673</v>
      </c>
      <c r="H24" s="323">
        <v>5580089</v>
      </c>
      <c r="I24" s="323">
        <v>4727564</v>
      </c>
      <c r="J24" s="323">
        <v>1311953516</v>
      </c>
      <c r="K24" s="323">
        <v>544972034</v>
      </c>
      <c r="L24" s="323">
        <v>44865633</v>
      </c>
      <c r="M24" s="323">
        <v>31913100</v>
      </c>
      <c r="N24" s="323">
        <v>6000000</v>
      </c>
      <c r="O24" s="324"/>
      <c r="P24" s="324"/>
      <c r="Q24" s="324"/>
      <c r="R24" s="324"/>
      <c r="S24" s="324"/>
    </row>
    <row r="25" spans="1:19" x14ac:dyDescent="0.15">
      <c r="A25" s="322" t="s">
        <v>1131</v>
      </c>
      <c r="B25" s="322" t="s">
        <v>78</v>
      </c>
      <c r="C25" s="323">
        <v>509872202</v>
      </c>
      <c r="D25" s="323">
        <v>331761294</v>
      </c>
      <c r="E25" s="323">
        <v>7948079</v>
      </c>
      <c r="F25" s="323">
        <v>10159839</v>
      </c>
      <c r="G25" s="323">
        <v>473964341</v>
      </c>
      <c r="H25" s="323">
        <v>1600000</v>
      </c>
      <c r="I25" s="323">
        <v>0</v>
      </c>
      <c r="J25" s="323">
        <v>376729201</v>
      </c>
      <c r="K25" s="323">
        <v>250193420</v>
      </c>
      <c r="L25" s="323">
        <v>5038971</v>
      </c>
      <c r="M25" s="323">
        <v>6197626</v>
      </c>
      <c r="N25" s="323">
        <v>1613503</v>
      </c>
      <c r="O25" s="324"/>
      <c r="P25" s="324"/>
      <c r="Q25" s="324"/>
      <c r="R25" s="324"/>
      <c r="S25" s="324"/>
    </row>
    <row r="26" spans="1:19" x14ac:dyDescent="0.15">
      <c r="A26" s="322" t="s">
        <v>57</v>
      </c>
      <c r="B26" s="322" t="s">
        <v>58</v>
      </c>
      <c r="C26" s="323">
        <v>2267407090</v>
      </c>
      <c r="D26" s="323">
        <v>1135772763</v>
      </c>
      <c r="E26" s="323">
        <v>37367994</v>
      </c>
      <c r="F26" s="323">
        <v>61280711</v>
      </c>
      <c r="G26" s="323">
        <v>2086007359</v>
      </c>
      <c r="H26" s="323">
        <v>7613133</v>
      </c>
      <c r="I26" s="323">
        <v>7277001</v>
      </c>
      <c r="J26" s="323">
        <v>2599161218</v>
      </c>
      <c r="K26" s="323">
        <v>1185402724</v>
      </c>
      <c r="L26" s="323">
        <v>78698000</v>
      </c>
      <c r="M26" s="323">
        <v>71335000</v>
      </c>
      <c r="N26" s="323">
        <v>7619847</v>
      </c>
      <c r="O26" s="324"/>
      <c r="P26" s="324"/>
      <c r="Q26" s="324"/>
      <c r="R26" s="324"/>
      <c r="S26" s="324"/>
    </row>
    <row r="27" spans="1:19" x14ac:dyDescent="0.15">
      <c r="A27" s="322" t="s">
        <v>59</v>
      </c>
      <c r="B27" s="322" t="s">
        <v>60</v>
      </c>
      <c r="C27" s="323">
        <v>1699588587</v>
      </c>
      <c r="D27" s="323">
        <v>685003978</v>
      </c>
      <c r="E27" s="323">
        <v>32100794</v>
      </c>
      <c r="F27" s="323">
        <v>32312523</v>
      </c>
      <c r="G27" s="323">
        <v>1230250614</v>
      </c>
      <c r="H27" s="323">
        <v>6776284</v>
      </c>
      <c r="I27" s="323">
        <v>4913089</v>
      </c>
      <c r="J27" s="323">
        <v>2055885216</v>
      </c>
      <c r="K27" s="323">
        <v>685964166</v>
      </c>
      <c r="L27" s="323">
        <v>32632000</v>
      </c>
      <c r="M27" s="323">
        <v>33636271</v>
      </c>
      <c r="N27" s="323">
        <v>7400000</v>
      </c>
      <c r="O27" s="324"/>
      <c r="P27" s="324"/>
      <c r="Q27" s="324"/>
      <c r="R27" s="324"/>
      <c r="S27" s="324"/>
    </row>
    <row r="28" spans="1:19" x14ac:dyDescent="0.15">
      <c r="A28" s="322" t="s">
        <v>53</v>
      </c>
      <c r="B28" s="322" t="s">
        <v>54</v>
      </c>
      <c r="C28" s="323">
        <v>1936697740</v>
      </c>
      <c r="D28" s="323">
        <v>791989796</v>
      </c>
      <c r="E28" s="323">
        <v>40000000</v>
      </c>
      <c r="F28" s="323">
        <v>54677729</v>
      </c>
      <c r="G28" s="323">
        <v>1118707091</v>
      </c>
      <c r="H28" s="323">
        <v>10933315</v>
      </c>
      <c r="I28" s="323">
        <v>9579821</v>
      </c>
      <c r="J28" s="323">
        <v>2565230201</v>
      </c>
      <c r="K28" s="323">
        <v>793599680</v>
      </c>
      <c r="L28" s="323">
        <v>62775110</v>
      </c>
      <c r="M28" s="323">
        <v>81000000</v>
      </c>
      <c r="N28" s="323">
        <v>18095985</v>
      </c>
      <c r="O28" s="324"/>
      <c r="P28" s="324"/>
      <c r="Q28" s="324"/>
      <c r="R28" s="324"/>
      <c r="S28" s="324"/>
    </row>
    <row r="29" spans="1:19" x14ac:dyDescent="0.15">
      <c r="A29" s="322" t="s">
        <v>55</v>
      </c>
      <c r="B29" s="322" t="s">
        <v>56</v>
      </c>
      <c r="C29" s="323">
        <v>4444280227</v>
      </c>
      <c r="D29" s="323">
        <v>2244209851</v>
      </c>
      <c r="E29" s="323">
        <v>84440766</v>
      </c>
      <c r="F29" s="323">
        <v>84314516</v>
      </c>
      <c r="G29" s="323">
        <v>2328757720</v>
      </c>
      <c r="H29" s="323">
        <v>11840486</v>
      </c>
      <c r="I29" s="323">
        <v>7800000</v>
      </c>
      <c r="J29" s="323">
        <v>5413802598</v>
      </c>
      <c r="K29" s="323">
        <v>3485850184</v>
      </c>
      <c r="L29" s="323">
        <v>103940187</v>
      </c>
      <c r="M29" s="323">
        <v>95966984</v>
      </c>
      <c r="N29" s="323">
        <v>14200000</v>
      </c>
      <c r="O29" s="324"/>
      <c r="P29" s="324"/>
      <c r="Q29" s="324"/>
      <c r="R29" s="324"/>
      <c r="S29" s="324"/>
    </row>
    <row r="30" spans="1:19" x14ac:dyDescent="0.15">
      <c r="A30" s="322" t="s">
        <v>94</v>
      </c>
      <c r="B30" s="322" t="s">
        <v>95</v>
      </c>
      <c r="C30" s="323">
        <v>0</v>
      </c>
      <c r="D30" s="323">
        <v>0</v>
      </c>
      <c r="E30" s="323">
        <v>0</v>
      </c>
      <c r="F30" s="323">
        <v>0</v>
      </c>
      <c r="G30" s="323">
        <v>8476145</v>
      </c>
      <c r="H30" s="323">
        <v>0</v>
      </c>
      <c r="I30" s="323">
        <v>0</v>
      </c>
      <c r="J30" s="323">
        <v>3945656687</v>
      </c>
      <c r="K30" s="323">
        <v>2477644889</v>
      </c>
      <c r="L30" s="323">
        <v>64865366</v>
      </c>
      <c r="M30" s="323">
        <v>165124275</v>
      </c>
      <c r="N30" s="323">
        <v>11132273</v>
      </c>
      <c r="O30" s="324"/>
      <c r="P30" s="324"/>
      <c r="Q30" s="324"/>
      <c r="R30" s="324"/>
      <c r="S30" s="324"/>
    </row>
    <row r="31" spans="1:19" x14ac:dyDescent="0.15">
      <c r="A31" s="322" t="s">
        <v>96</v>
      </c>
      <c r="B31" s="322" t="s">
        <v>97</v>
      </c>
      <c r="C31" s="323">
        <v>794987748</v>
      </c>
      <c r="D31" s="323">
        <v>240143914</v>
      </c>
      <c r="E31" s="323">
        <v>29285399</v>
      </c>
      <c r="F31" s="323">
        <v>24894050</v>
      </c>
      <c r="G31" s="323">
        <v>284136460</v>
      </c>
      <c r="H31" s="323">
        <v>5217883</v>
      </c>
      <c r="I31" s="323">
        <v>2781423</v>
      </c>
      <c r="J31" s="323">
        <v>719581691</v>
      </c>
      <c r="K31" s="323">
        <v>237213290</v>
      </c>
      <c r="L31" s="323">
        <v>36551048</v>
      </c>
      <c r="M31" s="323">
        <v>31214915</v>
      </c>
      <c r="N31" s="323">
        <v>5217883</v>
      </c>
      <c r="O31" s="324"/>
      <c r="P31" s="324"/>
      <c r="Q31" s="324"/>
      <c r="R31" s="324"/>
      <c r="S31" s="324"/>
    </row>
    <row r="32" spans="1:19" x14ac:dyDescent="0.15">
      <c r="A32" s="322" t="s">
        <v>51</v>
      </c>
      <c r="B32" s="322" t="s">
        <v>52</v>
      </c>
      <c r="C32" s="323">
        <v>4271938417</v>
      </c>
      <c r="D32" s="323">
        <v>2393894164</v>
      </c>
      <c r="E32" s="323">
        <v>61400000</v>
      </c>
      <c r="F32" s="323">
        <v>51500000</v>
      </c>
      <c r="G32" s="323">
        <v>2261360782</v>
      </c>
      <c r="H32" s="323">
        <v>17883668</v>
      </c>
      <c r="I32" s="323">
        <v>12826068</v>
      </c>
      <c r="J32" s="323">
        <v>4344155316</v>
      </c>
      <c r="K32" s="323">
        <v>2618200000</v>
      </c>
      <c r="L32" s="323">
        <v>60263454</v>
      </c>
      <c r="M32" s="323">
        <v>49573560</v>
      </c>
      <c r="N32" s="323">
        <v>17370435</v>
      </c>
      <c r="O32" s="324"/>
      <c r="P32" s="324"/>
      <c r="Q32" s="324"/>
      <c r="R32" s="324"/>
      <c r="S32" s="324"/>
    </row>
    <row r="33" spans="1:19" x14ac:dyDescent="0.15">
      <c r="A33" s="322" t="s">
        <v>86</v>
      </c>
      <c r="B33" s="322" t="s">
        <v>87</v>
      </c>
      <c r="C33" s="323">
        <v>289641587</v>
      </c>
      <c r="D33" s="323">
        <v>100556862</v>
      </c>
      <c r="E33" s="323">
        <v>2830260</v>
      </c>
      <c r="F33" s="323">
        <v>11192775</v>
      </c>
      <c r="G33" s="323">
        <v>174544973</v>
      </c>
      <c r="H33" s="323">
        <v>2625232</v>
      </c>
      <c r="I33" s="325"/>
      <c r="J33" s="323">
        <v>451825224</v>
      </c>
      <c r="K33" s="323">
        <v>140936241</v>
      </c>
      <c r="L33" s="323">
        <v>17437996</v>
      </c>
      <c r="M33" s="323">
        <v>18284000</v>
      </c>
      <c r="N33" s="323">
        <v>4261435</v>
      </c>
      <c r="O33" s="324"/>
      <c r="P33" s="324"/>
      <c r="Q33" s="324"/>
      <c r="R33" s="324"/>
      <c r="S33" s="324"/>
    </row>
    <row r="34" spans="1:19" x14ac:dyDescent="0.15">
      <c r="A34" s="322" t="s">
        <v>106</v>
      </c>
      <c r="B34" s="322" t="s">
        <v>107</v>
      </c>
      <c r="C34" s="323">
        <v>29450000</v>
      </c>
      <c r="D34" s="323">
        <v>12150000</v>
      </c>
      <c r="E34" s="323">
        <v>1400000</v>
      </c>
      <c r="F34" s="323">
        <v>1300000</v>
      </c>
      <c r="G34" s="323">
        <v>21000802</v>
      </c>
      <c r="H34" s="323">
        <v>542398</v>
      </c>
      <c r="I34" s="325"/>
      <c r="J34" s="323">
        <v>115945732</v>
      </c>
      <c r="K34" s="323">
        <v>31769071</v>
      </c>
      <c r="L34" s="323">
        <v>3658252</v>
      </c>
      <c r="M34" s="323">
        <v>2650000</v>
      </c>
      <c r="N34" s="323">
        <v>4813127</v>
      </c>
      <c r="O34" s="324"/>
      <c r="P34" s="324"/>
      <c r="Q34" s="324"/>
      <c r="R34" s="324"/>
      <c r="S34" s="324"/>
    </row>
    <row r="35" spans="1:19" x14ac:dyDescent="0.15">
      <c r="A35" s="322" t="s">
        <v>306</v>
      </c>
      <c r="B35" s="322" t="s">
        <v>307</v>
      </c>
      <c r="C35" s="323">
        <v>149692653</v>
      </c>
      <c r="D35" s="323">
        <v>76536471</v>
      </c>
      <c r="E35" s="323">
        <v>1724078</v>
      </c>
      <c r="F35" s="323">
        <v>2367214</v>
      </c>
      <c r="G35" s="323">
        <v>129391986</v>
      </c>
      <c r="H35" s="323">
        <v>3401119</v>
      </c>
      <c r="I35" s="325"/>
      <c r="J35" s="323">
        <v>0</v>
      </c>
      <c r="K35" s="323">
        <v>0</v>
      </c>
      <c r="L35" s="323">
        <v>0</v>
      </c>
      <c r="M35" s="323">
        <v>0</v>
      </c>
      <c r="N35" s="323">
        <v>0</v>
      </c>
      <c r="O35" s="324"/>
      <c r="P35" s="324"/>
      <c r="Q35" s="324"/>
      <c r="R35" s="324"/>
      <c r="S35" s="324"/>
    </row>
    <row r="36" spans="1:19" x14ac:dyDescent="0.15">
      <c r="A36" s="322" t="s">
        <v>392</v>
      </c>
      <c r="B36" s="322" t="s">
        <v>393</v>
      </c>
      <c r="C36" s="323">
        <v>168906963</v>
      </c>
      <c r="D36" s="323">
        <v>77591547</v>
      </c>
      <c r="E36" s="323">
        <v>8700000</v>
      </c>
      <c r="F36" s="323">
        <v>2300000</v>
      </c>
      <c r="G36" s="323">
        <v>93866655</v>
      </c>
      <c r="H36" s="323">
        <v>530000</v>
      </c>
      <c r="J36" s="323">
        <v>0</v>
      </c>
      <c r="K36" s="323">
        <v>0</v>
      </c>
      <c r="L36" s="323">
        <v>0</v>
      </c>
      <c r="M36" s="323">
        <v>0</v>
      </c>
      <c r="N36" s="323">
        <v>0</v>
      </c>
      <c r="O36" s="236"/>
      <c r="P36" s="236"/>
      <c r="Q36" s="236"/>
      <c r="R36" s="236"/>
      <c r="S36" s="236"/>
    </row>
    <row r="37" spans="1:19" x14ac:dyDescent="0.15">
      <c r="J37" s="240"/>
    </row>
    <row r="38" spans="1:19" x14ac:dyDescent="0.15">
      <c r="A38" s="237" t="s">
        <v>1144</v>
      </c>
      <c r="J38" s="239"/>
    </row>
  </sheetData>
  <sheetProtection sheet="1" objects="1" scenarios="1"/>
  <sortState xmlns:xlrd2="http://schemas.microsoft.com/office/spreadsheetml/2017/richdata2" ref="A2:N35">
    <sortCondition ref="A2:A3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918E-F5C7-47A9-8E91-6E3D3AA22E13}">
  <dimension ref="A1:H20"/>
  <sheetViews>
    <sheetView showGridLines="0" workbookViewId="0">
      <selection activeCell="B29" sqref="B29"/>
    </sheetView>
  </sheetViews>
  <sheetFormatPr baseColWidth="10" defaultColWidth="8.83203125" defaultRowHeight="16" x14ac:dyDescent="0.2"/>
  <cols>
    <col min="1" max="1" width="10.83203125" style="34" customWidth="1"/>
    <col min="2" max="2" width="36.1640625" customWidth="1"/>
    <col min="3" max="3" width="13.1640625" customWidth="1"/>
    <col min="4" max="4" width="87.1640625" customWidth="1"/>
  </cols>
  <sheetData>
    <row r="1" spans="1:8" x14ac:dyDescent="0.2">
      <c r="A1" s="34" t="s">
        <v>955</v>
      </c>
    </row>
    <row r="3" spans="1:8" x14ac:dyDescent="0.2">
      <c r="A3" s="223" t="s">
        <v>956</v>
      </c>
      <c r="B3" s="224" t="s">
        <v>129</v>
      </c>
      <c r="C3" s="224" t="s">
        <v>957</v>
      </c>
      <c r="D3" s="224" t="s">
        <v>958</v>
      </c>
    </row>
    <row r="4" spans="1:8" x14ac:dyDescent="0.2">
      <c r="A4" s="54">
        <v>111</v>
      </c>
      <c r="B4" s="17" t="s">
        <v>960</v>
      </c>
      <c r="C4" s="17" t="s">
        <v>959</v>
      </c>
      <c r="D4" s="222" t="s">
        <v>961</v>
      </c>
      <c r="E4" s="17"/>
      <c r="F4" s="17"/>
      <c r="G4" s="27"/>
      <c r="H4" s="27"/>
    </row>
    <row r="5" spans="1:8" x14ac:dyDescent="0.2">
      <c r="A5" s="34">
        <v>112</v>
      </c>
      <c r="B5" t="s">
        <v>962</v>
      </c>
      <c r="C5" t="s">
        <v>959</v>
      </c>
      <c r="D5" s="225" t="s">
        <v>963</v>
      </c>
    </row>
    <row r="6" spans="1:8" x14ac:dyDescent="0.2">
      <c r="A6" s="34">
        <v>121</v>
      </c>
      <c r="B6" t="s">
        <v>532</v>
      </c>
      <c r="C6" t="s">
        <v>959</v>
      </c>
      <c r="D6" s="225" t="s">
        <v>964</v>
      </c>
    </row>
    <row r="7" spans="1:8" x14ac:dyDescent="0.2">
      <c r="A7" s="34">
        <v>121</v>
      </c>
      <c r="B7" t="s">
        <v>965</v>
      </c>
      <c r="C7" t="s">
        <v>959</v>
      </c>
      <c r="D7" s="225" t="s">
        <v>966</v>
      </c>
    </row>
    <row r="8" spans="1:8" x14ac:dyDescent="0.2">
      <c r="A8" s="34">
        <v>122</v>
      </c>
      <c r="B8" t="s">
        <v>967</v>
      </c>
      <c r="C8" t="s">
        <v>959</v>
      </c>
      <c r="D8" s="225" t="s">
        <v>968</v>
      </c>
    </row>
    <row r="9" spans="1:8" x14ac:dyDescent="0.2">
      <c r="A9" s="34">
        <v>211</v>
      </c>
      <c r="B9" t="s">
        <v>962</v>
      </c>
      <c r="C9" t="s">
        <v>959</v>
      </c>
      <c r="D9" s="225" t="s">
        <v>963</v>
      </c>
    </row>
    <row r="10" spans="1:8" x14ac:dyDescent="0.2">
      <c r="A10" s="34">
        <v>212</v>
      </c>
      <c r="B10" t="s">
        <v>962</v>
      </c>
      <c r="C10" t="s">
        <v>959</v>
      </c>
      <c r="D10" s="225" t="s">
        <v>963</v>
      </c>
    </row>
    <row r="11" spans="1:8" x14ac:dyDescent="0.2">
      <c r="A11" s="34">
        <v>221</v>
      </c>
      <c r="B11" t="s">
        <v>969</v>
      </c>
      <c r="C11" t="s">
        <v>970</v>
      </c>
      <c r="D11" s="225" t="s">
        <v>971</v>
      </c>
    </row>
    <row r="12" spans="1:8" x14ac:dyDescent="0.2">
      <c r="A12" s="34">
        <v>222</v>
      </c>
      <c r="B12" t="s">
        <v>962</v>
      </c>
      <c r="C12" t="s">
        <v>959</v>
      </c>
      <c r="D12" s="225" t="s">
        <v>963</v>
      </c>
    </row>
    <row r="13" spans="1:8" x14ac:dyDescent="0.2">
      <c r="A13" s="34">
        <v>311</v>
      </c>
      <c r="B13" t="s">
        <v>972</v>
      </c>
      <c r="C13" t="s">
        <v>970</v>
      </c>
      <c r="D13" s="225" t="s">
        <v>973</v>
      </c>
    </row>
    <row r="14" spans="1:8" x14ac:dyDescent="0.2">
      <c r="A14" s="34">
        <v>312</v>
      </c>
      <c r="B14" t="s">
        <v>972</v>
      </c>
      <c r="C14" t="s">
        <v>970</v>
      </c>
      <c r="D14" s="225" t="s">
        <v>973</v>
      </c>
    </row>
    <row r="15" spans="1:8" x14ac:dyDescent="0.2">
      <c r="A15" s="34">
        <v>321</v>
      </c>
      <c r="B15" t="s">
        <v>969</v>
      </c>
      <c r="C15" t="s">
        <v>970</v>
      </c>
      <c r="D15" s="225" t="s">
        <v>971</v>
      </c>
    </row>
    <row r="16" spans="1:8" x14ac:dyDescent="0.2">
      <c r="A16" s="34">
        <v>322</v>
      </c>
      <c r="B16" t="s">
        <v>969</v>
      </c>
      <c r="C16" t="s">
        <v>970</v>
      </c>
      <c r="D16" s="225" t="s">
        <v>971</v>
      </c>
    </row>
    <row r="17" spans="1:4" x14ac:dyDescent="0.2">
      <c r="A17" s="34">
        <v>411</v>
      </c>
      <c r="B17" t="s">
        <v>974</v>
      </c>
      <c r="C17" t="s">
        <v>970</v>
      </c>
      <c r="D17" s="225" t="s">
        <v>975</v>
      </c>
    </row>
    <row r="18" spans="1:4" x14ac:dyDescent="0.2">
      <c r="A18" s="34">
        <v>412</v>
      </c>
      <c r="B18" t="s">
        <v>969</v>
      </c>
      <c r="C18" t="s">
        <v>970</v>
      </c>
      <c r="D18" s="225" t="s">
        <v>971</v>
      </c>
    </row>
    <row r="19" spans="1:4" x14ac:dyDescent="0.2">
      <c r="A19" s="34">
        <v>421</v>
      </c>
      <c r="B19" t="s">
        <v>976</v>
      </c>
      <c r="C19" t="s">
        <v>970</v>
      </c>
      <c r="D19" s="225" t="s">
        <v>977</v>
      </c>
    </row>
    <row r="20" spans="1:4" x14ac:dyDescent="0.2">
      <c r="A20" s="34">
        <v>422</v>
      </c>
      <c r="B20" t="s">
        <v>974</v>
      </c>
      <c r="C20" t="s">
        <v>970</v>
      </c>
      <c r="D20" s="225" t="s">
        <v>975</v>
      </c>
    </row>
  </sheetData>
  <sheetProtection sheet="1" objects="1" scenarios="1"/>
  <hyperlinks>
    <hyperlink ref="D4" r:id="rId1" xr:uid="{1B72CE2A-BAB0-45F5-B935-038CCEF1F006}"/>
    <hyperlink ref="D19" r:id="rId2" xr:uid="{B3F70534-7FEF-472C-BF8C-B443C0605DB9}"/>
    <hyperlink ref="D5" r:id="rId3" xr:uid="{F61A600D-323C-4124-A732-8A0C30B2927B}"/>
    <hyperlink ref="D10" r:id="rId4" xr:uid="{A55A3402-7C7E-4855-A5C8-3C3ADFB35BB1}"/>
    <hyperlink ref="D12" r:id="rId5" xr:uid="{A4E6AB4C-4665-4039-A14B-7E839AE4D559}"/>
    <hyperlink ref="D15" r:id="rId6" xr:uid="{FC29BB6B-9538-4CBB-9C25-52596E491E0C}"/>
    <hyperlink ref="D16" r:id="rId7" xr:uid="{C04D48EB-B6C3-4961-9FC4-4921831B5DAE}"/>
    <hyperlink ref="D18" r:id="rId8" xr:uid="{2171F938-0F2E-41C0-AC73-6949357D5C0A}"/>
    <hyperlink ref="D17" r:id="rId9" xr:uid="{7F89417B-F573-44D9-A4BA-BB57D3384F9E}"/>
    <hyperlink ref="D20" r:id="rId10" xr:uid="{E0B33A70-4880-49C8-867F-BEE3B0DE8990}"/>
    <hyperlink ref="D14" r:id="rId11" xr:uid="{CBA69667-8129-4AC7-86C7-1D41B67CEDE5}"/>
    <hyperlink ref="D13" r:id="rId12" xr:uid="{9BDE5692-6838-466A-AE8D-119857D56CAA}"/>
    <hyperlink ref="D11" r:id="rId13" xr:uid="{BD5959F7-4BD2-43CD-8B0F-933771F7C4EA}"/>
    <hyperlink ref="D7" r:id="rId14" xr:uid="{35DE8F44-FE1F-4F7A-B5F7-5FABA2F11FCC}"/>
    <hyperlink ref="D6" r:id="rId15" xr:uid="{6E6E32D2-BB6A-472E-8680-46B8C0F1DD79}"/>
    <hyperlink ref="D8" r:id="rId16" location="/indicies/GII" xr:uid="{9F87F1AE-9ACE-42BD-8BBC-E2D8FD55B497}"/>
    <hyperlink ref="D9" r:id="rId17" xr:uid="{95F89C22-006F-7345-A595-1180C39AB3B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65B7-78C3-4F9B-9E14-DC616BB03FA2}">
  <dimension ref="A1:C4"/>
  <sheetViews>
    <sheetView showGridLines="0" workbookViewId="0">
      <selection activeCell="C14" sqref="C14"/>
    </sheetView>
  </sheetViews>
  <sheetFormatPr baseColWidth="10" defaultColWidth="9" defaultRowHeight="16" x14ac:dyDescent="0.2"/>
  <cols>
    <col min="1" max="1" width="9.6640625" style="34" customWidth="1"/>
    <col min="2" max="2" width="11.1640625" style="34" customWidth="1"/>
    <col min="3" max="3" width="136.1640625" style="34" customWidth="1"/>
    <col min="4" max="16384" width="9" style="34"/>
  </cols>
  <sheetData>
    <row r="1" spans="1:3" s="292" customFormat="1" x14ac:dyDescent="0.2">
      <c r="A1" s="315" t="s">
        <v>978</v>
      </c>
      <c r="B1" s="315" t="s">
        <v>979</v>
      </c>
      <c r="C1" s="315" t="s">
        <v>980</v>
      </c>
    </row>
    <row r="2" spans="1:3" s="292" customFormat="1" x14ac:dyDescent="0.2">
      <c r="A2" s="312" t="s">
        <v>981</v>
      </c>
      <c r="B2" s="291">
        <v>44819</v>
      </c>
      <c r="C2" s="34"/>
    </row>
    <row r="3" spans="1:3" x14ac:dyDescent="0.2">
      <c r="A3" s="312" t="s">
        <v>982</v>
      </c>
      <c r="B3" s="291">
        <v>44862</v>
      </c>
      <c r="C3" s="34" t="s">
        <v>983</v>
      </c>
    </row>
    <row r="4" spans="1:3" x14ac:dyDescent="0.2">
      <c r="A4" s="366" t="s">
        <v>1160</v>
      </c>
      <c r="B4" s="291">
        <v>45415</v>
      </c>
      <c r="C4" s="368" t="s">
        <v>1167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BCC1A4E03C2C4DB79B656679B000C1" ma:contentTypeVersion="19" ma:contentTypeDescription="Create a new document." ma:contentTypeScope="" ma:versionID="11fbfffa34ec1fd6fbe9de90fbb97496">
  <xsd:schema xmlns:xsd="http://www.w3.org/2001/XMLSchema" xmlns:xs="http://www.w3.org/2001/XMLSchema" xmlns:p="http://schemas.microsoft.com/office/2006/metadata/properties" xmlns:ns2="f49fbb55-275e-4e94-96c9-44f4aab310ea" xmlns:ns3="76baa36f-e57b-4c69-9526-73663b0c69b3" xmlns:ns4="985ec44e-1bab-4c0b-9df0-6ba128686fc9" targetNamespace="http://schemas.microsoft.com/office/2006/metadata/properties" ma:root="true" ma:fieldsID="2e46a4cbde1630c35f9d09a7dae7e81c" ns2:_="" ns3:_="" ns4:_="">
    <xsd:import namespace="f49fbb55-275e-4e94-96c9-44f4aab310ea"/>
    <xsd:import namespace="76baa36f-e57b-4c69-9526-73663b0c69b3"/>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Descriptionofconte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fbb55-275e-4e94-96c9-44f4aab31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escriptionofcontents" ma:index="19" nillable="true" ma:displayName="List of contents " ma:format="Dropdown" ma:internalName="Descriptionofcontents">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baa36f-e57b-4c69-9526-73663b0c69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b35fca2-add7-4175-a175-34eea05fc1ee}" ma:internalName="TaxCatchAll" ma:showField="CatchAllData" ma:web="76baa36f-e57b-4c69-9526-73663b0c69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9fbb55-275e-4e94-96c9-44f4aab310ea">
      <Terms xmlns="http://schemas.microsoft.com/office/infopath/2007/PartnerControls"/>
    </lcf76f155ced4ddcb4097134ff3c332f>
    <Descriptionofcontents xmlns="f49fbb55-275e-4e94-96c9-44f4aab310ea" xsi:nil="true"/>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79A7E-E749-4B81-9248-0B577BEBD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fbb55-275e-4e94-96c9-44f4aab310ea"/>
    <ds:schemaRef ds:uri="76baa36f-e57b-4c69-9526-73663b0c69b3"/>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14A1D4-3881-4C69-9B3D-D231DA112C54}">
  <ds:schemaRefs>
    <ds:schemaRef ds:uri="http://schemas.microsoft.com/office/2006/metadata/properties"/>
    <ds:schemaRef ds:uri="http://schemas.microsoft.com/office/infopath/2007/PartnerControls"/>
    <ds:schemaRef ds:uri="f49fbb55-275e-4e94-96c9-44f4aab310ea"/>
    <ds:schemaRef ds:uri="985ec44e-1bab-4c0b-9df0-6ba128686fc9"/>
  </ds:schemaRefs>
</ds:datastoreItem>
</file>

<file path=customXml/itemProps3.xml><?xml version="1.0" encoding="utf-8"?>
<ds:datastoreItem xmlns:ds="http://schemas.openxmlformats.org/officeDocument/2006/customXml" ds:itemID="{F5A4B97C-6D12-4582-AB2E-F5DA1E380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About</vt:lpstr>
      <vt:lpstr>SEARO</vt:lpstr>
      <vt:lpstr>111 Policy &amp; Practice</vt:lpstr>
      <vt:lpstr>112 Institutions &amp; Services</vt:lpstr>
      <vt:lpstr>121 Violence Against Women</vt:lpstr>
      <vt:lpstr>122 Gender Inequality</vt:lpstr>
      <vt:lpstr>211 Scope &amp; Intensity</vt:lpstr>
      <vt:lpstr>212 Crisis Severity</vt:lpstr>
      <vt:lpstr>221 Operation Size</vt:lpstr>
      <vt:lpstr>222 Operational Complexity</vt:lpstr>
      <vt:lpstr>311 Leadership &amp; Staffing</vt:lpstr>
      <vt:lpstr>312 Organizational Culture</vt:lpstr>
      <vt:lpstr>321 Operational Design</vt:lpstr>
      <vt:lpstr>322 Operational Reach</vt:lpstr>
      <vt:lpstr>411 PSEA Coordinators</vt:lpstr>
      <vt:lpstr>412 Funding &amp; Resources</vt:lpstr>
      <vt:lpstr>421 Survivor Assistance</vt:lpstr>
      <vt:lpstr>422 Reporting &amp; Accountability</vt:lpstr>
      <vt:lpstr>World Bank</vt:lpstr>
      <vt:lpstr>INFORM-S Crises</vt:lpstr>
      <vt:lpstr>INFORM-S Countries</vt:lpstr>
      <vt:lpstr>Humanitarian Insight</vt:lpstr>
      <vt:lpstr>Sources</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Williams</dc:creator>
  <cp:keywords/>
  <dc:description/>
  <cp:lastModifiedBy>Craig Williams</cp:lastModifiedBy>
  <cp:revision/>
  <dcterms:created xsi:type="dcterms:W3CDTF">2022-03-14T10:51:00Z</dcterms:created>
  <dcterms:modified xsi:type="dcterms:W3CDTF">2024-05-13T14:10:20Z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0x010100C1BCC1A4E03C2C4DB79B656679B000C1</vt:lpwstr>
  </property>
  <property fmtid="{D5CDD505-2E9C-101B-9397-08002B2CF9AE}" pid="3" name="MediaServiceImageTags">
    <vt:lpwstr/>
  </property>
</Properties>
</file>